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165" yWindow="300" windowWidth="23565" windowHeight="11565" activeTab="1"/>
  </bookViews>
  <sheets>
    <sheet name="Zoe Verbrauch Winter 0°" sheetId="4" r:id="rId1"/>
    <sheet name="Zoe Verbrauch Sommer 20°" sheetId="5" r:id="rId2"/>
  </sheets>
  <calcPr calcId="145621"/>
</workbook>
</file>

<file path=xl/calcChain.xml><?xml version="1.0" encoding="utf-8"?>
<calcChain xmlns="http://schemas.openxmlformats.org/spreadsheetml/2006/main">
  <c r="K14" i="4" l="1"/>
  <c r="K13" i="4"/>
  <c r="K12" i="4"/>
  <c r="K11" i="4"/>
  <c r="K10" i="4"/>
  <c r="K9" i="4"/>
  <c r="K8" i="4"/>
  <c r="K7" i="4"/>
  <c r="K6" i="4"/>
  <c r="K5" i="4"/>
  <c r="O5" i="5" l="1"/>
  <c r="M5" i="5"/>
  <c r="K6" i="5"/>
  <c r="K14" i="5"/>
  <c r="K13" i="5"/>
  <c r="K12" i="5"/>
  <c r="K11" i="5"/>
  <c r="K10" i="5"/>
  <c r="K9" i="5"/>
  <c r="K8" i="5"/>
  <c r="K7" i="5"/>
  <c r="K5" i="5"/>
  <c r="L14" i="4" l="1"/>
  <c r="L13" i="4"/>
  <c r="L12" i="4"/>
  <c r="L11" i="4"/>
  <c r="L10" i="4"/>
  <c r="L9" i="4"/>
  <c r="L8" i="4"/>
  <c r="L7" i="4"/>
  <c r="L6" i="4"/>
  <c r="L5" i="4"/>
  <c r="E58" i="5" l="1"/>
  <c r="E56" i="5"/>
  <c r="F14" i="5" s="1"/>
  <c r="E45" i="5"/>
  <c r="E43" i="5"/>
  <c r="E38" i="5"/>
  <c r="E35" i="5"/>
  <c r="B14" i="5" s="1"/>
  <c r="C14" i="5" s="1"/>
  <c r="I14" i="5"/>
  <c r="H14" i="5" s="1"/>
  <c r="D14" i="5"/>
  <c r="E14" i="5" s="1"/>
  <c r="I13" i="5"/>
  <c r="H13" i="5" s="1"/>
  <c r="F13" i="5"/>
  <c r="D13" i="5"/>
  <c r="E13" i="5" s="1"/>
  <c r="B13" i="5"/>
  <c r="C13" i="5" s="1"/>
  <c r="I12" i="5"/>
  <c r="H12" i="5" s="1"/>
  <c r="D12" i="5"/>
  <c r="E12" i="5" s="1"/>
  <c r="I11" i="5"/>
  <c r="H11" i="5"/>
  <c r="F11" i="5"/>
  <c r="D11" i="5"/>
  <c r="E11" i="5" s="1"/>
  <c r="B11" i="5"/>
  <c r="C11" i="5" s="1"/>
  <c r="I10" i="5"/>
  <c r="H10" i="5" s="1"/>
  <c r="D10" i="5"/>
  <c r="E10" i="5" s="1"/>
  <c r="I9" i="5"/>
  <c r="H9" i="5" s="1"/>
  <c r="F9" i="5"/>
  <c r="D9" i="5"/>
  <c r="E9" i="5" s="1"/>
  <c r="B9" i="5"/>
  <c r="C9" i="5" s="1"/>
  <c r="I8" i="5"/>
  <c r="H8" i="5" s="1"/>
  <c r="D8" i="5"/>
  <c r="E8" i="5" s="1"/>
  <c r="I7" i="5"/>
  <c r="H7" i="5" s="1"/>
  <c r="F7" i="5"/>
  <c r="D7" i="5"/>
  <c r="E7" i="5" s="1"/>
  <c r="B7" i="5"/>
  <c r="C7" i="5" s="1"/>
  <c r="I6" i="5"/>
  <c r="H6" i="5" s="1"/>
  <c r="D6" i="5"/>
  <c r="E6" i="5" s="1"/>
  <c r="I5" i="5"/>
  <c r="H5" i="5" s="1"/>
  <c r="F5" i="5"/>
  <c r="D5" i="5"/>
  <c r="E5" i="5" s="1"/>
  <c r="B5" i="5"/>
  <c r="C5" i="5" s="1"/>
  <c r="P4" i="5"/>
  <c r="N4" i="5"/>
  <c r="L4" i="5"/>
  <c r="J11" i="5" l="1"/>
  <c r="J5" i="5"/>
  <c r="J7" i="5"/>
  <c r="J14" i="5"/>
  <c r="J13" i="5"/>
  <c r="O13" i="5" s="1"/>
  <c r="P13" i="5" s="1"/>
  <c r="J9" i="5"/>
  <c r="B6" i="5"/>
  <c r="C6" i="5" s="1"/>
  <c r="F6" i="5"/>
  <c r="B8" i="5"/>
  <c r="C8" i="5" s="1"/>
  <c r="F8" i="5"/>
  <c r="B10" i="5"/>
  <c r="C10" i="5" s="1"/>
  <c r="F10" i="5"/>
  <c r="B12" i="5"/>
  <c r="C12" i="5" s="1"/>
  <c r="F12" i="5"/>
  <c r="B13" i="4"/>
  <c r="E38" i="4"/>
  <c r="B5" i="4"/>
  <c r="E43" i="4"/>
  <c r="E56" i="4"/>
  <c r="O14" i="5" l="1"/>
  <c r="P14" i="5" s="1"/>
  <c r="L14" i="5"/>
  <c r="M14" i="5"/>
  <c r="N14" i="5" s="1"/>
  <c r="L13" i="5"/>
  <c r="M13" i="5"/>
  <c r="N13" i="5" s="1"/>
  <c r="M11" i="5"/>
  <c r="N11" i="5" s="1"/>
  <c r="L11" i="5"/>
  <c r="P5" i="5"/>
  <c r="N5" i="5"/>
  <c r="O11" i="5"/>
  <c r="P11" i="5" s="1"/>
  <c r="L5" i="5"/>
  <c r="M7" i="5"/>
  <c r="N7" i="5" s="1"/>
  <c r="L7" i="5"/>
  <c r="O7" i="5"/>
  <c r="P7" i="5" s="1"/>
  <c r="O9" i="5"/>
  <c r="P9" i="5" s="1"/>
  <c r="L9" i="5"/>
  <c r="M9" i="5"/>
  <c r="N9" i="5" s="1"/>
  <c r="J10" i="5"/>
  <c r="J6" i="5"/>
  <c r="J12" i="5"/>
  <c r="J8" i="5"/>
  <c r="E58" i="4"/>
  <c r="F14" i="4"/>
  <c r="E45" i="4"/>
  <c r="E35" i="4"/>
  <c r="B14" i="4" s="1"/>
  <c r="C14" i="4" s="1"/>
  <c r="I14" i="4"/>
  <c r="H14" i="4" s="1"/>
  <c r="D14" i="4"/>
  <c r="E14" i="4" s="1"/>
  <c r="I13" i="4"/>
  <c r="H13" i="4" s="1"/>
  <c r="D13" i="4"/>
  <c r="E13" i="4" s="1"/>
  <c r="I12" i="4"/>
  <c r="H12" i="4" s="1"/>
  <c r="D12" i="4"/>
  <c r="E12" i="4" s="1"/>
  <c r="I11" i="4"/>
  <c r="H11" i="4" s="1"/>
  <c r="D11" i="4"/>
  <c r="E11" i="4" s="1"/>
  <c r="I10" i="4"/>
  <c r="H10" i="4" s="1"/>
  <c r="D10" i="4"/>
  <c r="E10" i="4" s="1"/>
  <c r="I9" i="4"/>
  <c r="H9" i="4" s="1"/>
  <c r="D9" i="4"/>
  <c r="E9" i="4" s="1"/>
  <c r="I8" i="4"/>
  <c r="H8" i="4" s="1"/>
  <c r="D8" i="4"/>
  <c r="E8" i="4" s="1"/>
  <c r="I7" i="4"/>
  <c r="H7" i="4" s="1"/>
  <c r="D7" i="4"/>
  <c r="E7" i="4" s="1"/>
  <c r="I6" i="4"/>
  <c r="H6" i="4" s="1"/>
  <c r="D6" i="4"/>
  <c r="E6" i="4" s="1"/>
  <c r="I5" i="4"/>
  <c r="H5" i="4" s="1"/>
  <c r="D5" i="4"/>
  <c r="E5" i="4" s="1"/>
  <c r="P4" i="4"/>
  <c r="N4" i="4"/>
  <c r="L4" i="4"/>
  <c r="O10" i="5" l="1"/>
  <c r="P10" i="5" s="1"/>
  <c r="M10" i="5"/>
  <c r="N10" i="5" s="1"/>
  <c r="L10" i="5"/>
  <c r="M8" i="5"/>
  <c r="N8" i="5" s="1"/>
  <c r="O8" i="5"/>
  <c r="P8" i="5" s="1"/>
  <c r="L8" i="5"/>
  <c r="M12" i="5"/>
  <c r="N12" i="5" s="1"/>
  <c r="O12" i="5"/>
  <c r="P12" i="5" s="1"/>
  <c r="L12" i="5"/>
  <c r="O6" i="5"/>
  <c r="P6" i="5" s="1"/>
  <c r="L6" i="5"/>
  <c r="M6" i="5"/>
  <c r="N6" i="5" s="1"/>
  <c r="C5" i="4"/>
  <c r="B6" i="4"/>
  <c r="C6" i="4" s="1"/>
  <c r="B7" i="4"/>
  <c r="C7" i="4" s="1"/>
  <c r="B8" i="4"/>
  <c r="C8" i="4" s="1"/>
  <c r="B9" i="4"/>
  <c r="C9" i="4" s="1"/>
  <c r="B10" i="4"/>
  <c r="C10" i="4" s="1"/>
  <c r="B11" i="4"/>
  <c r="C11" i="4" s="1"/>
  <c r="B12" i="4"/>
  <c r="C12" i="4" s="1"/>
  <c r="C13" i="4"/>
  <c r="F5" i="4"/>
  <c r="J5" i="4" s="1"/>
  <c r="F6" i="4"/>
  <c r="F7" i="4"/>
  <c r="F8" i="4"/>
  <c r="J8" i="4" s="1"/>
  <c r="F9" i="4"/>
  <c r="F10" i="4"/>
  <c r="F11" i="4"/>
  <c r="F12" i="4"/>
  <c r="J12" i="4" s="1"/>
  <c r="F13" i="4"/>
  <c r="J13" i="4" s="1"/>
  <c r="J14" i="4"/>
  <c r="J9" i="4" l="1"/>
  <c r="O9" i="4" s="1"/>
  <c r="P9" i="4" s="1"/>
  <c r="J6" i="4"/>
  <c r="O6" i="4" s="1"/>
  <c r="J11" i="4"/>
  <c r="P11" i="4" s="1"/>
  <c r="J7" i="4"/>
  <c r="O13" i="4"/>
  <c r="M13" i="4"/>
  <c r="N13" i="4"/>
  <c r="P13" i="4"/>
  <c r="O12" i="4"/>
  <c r="P12" i="4" s="1"/>
  <c r="M12" i="4"/>
  <c r="N12" i="4" s="1"/>
  <c r="O8" i="4"/>
  <c r="P8" i="4" s="1"/>
  <c r="M8" i="4"/>
  <c r="N8" i="4"/>
  <c r="M9" i="4"/>
  <c r="N9" i="4" s="1"/>
  <c r="M5" i="4"/>
  <c r="N5" i="4" s="1"/>
  <c r="O5" i="4"/>
  <c r="P5" i="4" s="1"/>
  <c r="O14" i="4"/>
  <c r="P14" i="4" s="1"/>
  <c r="M14" i="4"/>
  <c r="N14" i="4" s="1"/>
  <c r="M11" i="4"/>
  <c r="N11" i="4" s="1"/>
  <c r="O7" i="4"/>
  <c r="P7" i="4" s="1"/>
  <c r="M7" i="4"/>
  <c r="N7" i="4"/>
  <c r="J10" i="4"/>
  <c r="O11" i="4" l="1"/>
  <c r="P6" i="4"/>
  <c r="M6" i="4"/>
  <c r="N6" i="4" s="1"/>
  <c r="O10" i="4"/>
  <c r="P10" i="4" s="1"/>
  <c r="M10" i="4"/>
  <c r="N10" i="4" s="1"/>
</calcChain>
</file>

<file path=xl/comments1.xml><?xml version="1.0" encoding="utf-8"?>
<comments xmlns="http://schemas.openxmlformats.org/spreadsheetml/2006/main">
  <authors>
    <author>User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W. Huller: für eigene Geschwindigkeitseingabe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Interpolierten Wert eingeben:
10 km/h: 0,820
20 km/h: 0,845
30 km/h: 0,870
40 km/h: 0,895
50 km/h: 0,920
60 km/h: 0,945
70 km/h: 0,970
80 km/h: 0,970
90 km/h: 0,970
100 km/h: 0,900 
110 km/h: 0,860 
120 km/h: 0,820
130 km/h: 0,770
140 km/h: 0,720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Normalbetrieb: 0,5 kWh
Sparbetrieb: 0,2 kWh
Winterbetrieb: ca. 3 kWh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 xml:space="preserve"> 0 kg - 440 kg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energ.effz.So.reifen ca. 0,009
Sommerreifen auf Asphalt ca. 0,011
Winterreifen auf Asphalt ca. 0,015</t>
        </r>
        <r>
          <rPr>
            <sz val="9"/>
            <color indexed="81"/>
            <rFont val="Tahoma"/>
            <family val="2"/>
          </rPr>
          <t xml:space="preserve">
Autoreifen auf Beton 0,010 - 0,020
Autoreifen auf Schotter 0,020
Autoreifen auf Kopfsteinpflaster 0,015 - 0,030
Autoreifen auf Schlaglochstrecke 0,030 - 0,060
Autoreifen auf festgefahrenem Sand 0,040 - 0,080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Gegenwind als positiven Betrag eingeben,
Rückenwind als negativen Betrag.
Windschatten fahren hinter LKW / Bus als
Rückenwind ca. -15 km/h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2,27 m² nach http://www.goingelectric.de/forum/allgemeine-themen/cw-werte-luftwiderstand-t6440.html
bzw. 
2,184 m² nach Berechnung Dr. Marx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1,367 kg/m² bei - 15°C
1,341 kg/m² bei - 10°C
1,316 kg/m² bei -   5°C
1,292 kg/m² bei     0°C
1,269 kg/m² bei +  5°C
1,247 kg/m² bei +10°C
1,225 kg/m³ bei +15°C
1,204 kg/m³ bei +20°C
1,184 kg/m² bei +25°C
1,164 kg/m² bei +30°C
1,145 kg/m² bei +35°C</t>
        </r>
        <r>
          <rPr>
            <sz val="9"/>
            <color indexed="81"/>
            <rFont val="Tahoma"/>
            <family val="2"/>
          </rPr>
          <t xml:space="preserve">
Luftdichte in Abhängigkeit von der Lufttemperatur auf Meereshöhe unter Normdruck von 1013 mbar
de.wikipedia.org/wiki/Luftdichte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0,329 nach http://media.renault.at/?article=1293
bzw.
0,300 nach Dr. Marx http://www.mx-electronic.com/pdf/Energie_f%C3%BCr_100_km_A.pdf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1.503 kg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W. Huller: Sommer ca.  2%,
im Winter je nach Temperatur bis 10%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>1.503 kg Q210
1.555 kg R90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W. Huller: für eigene Geschwindigkeitseingabe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Interpolierten Wert eingeben:
10 km/h: 0,820
20 km/h: 0,845
30 km/h: 0,870
40 km/h: 0,895
50 km/h: 0,920
60 km/h: 0,945
70 km/h: 0,970
80 km/h: 0,970
90 km/h: 0,970
100 km/h: 0,900 
110 km/h: 0,860 
120 km/h: 0,820
130 km/h: 0,770
140 km/h: 0,720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Normalbetrieb: 0,5 kWh
Sparbetrieb: 0,2 kWh
Winterbetrieb: ca. 3 kWh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 xml:space="preserve"> 0 kg - 440 kg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energ.effz.So.reifen ca. 0,009
Sommerreifen auf Asphalt ca. 0,011
Winterreifen auf Asphalt ca. 0,015</t>
        </r>
        <r>
          <rPr>
            <sz val="9"/>
            <color indexed="81"/>
            <rFont val="Tahoma"/>
            <family val="2"/>
          </rPr>
          <t xml:space="preserve">
Autoreifen auf Beton 0,010 - 0,020
Autoreifen auf Schotter 0,020
Autoreifen auf Kopfsteinpflaster 0,015 - 0,030
Autoreifen auf Schlaglochstrecke 0,030 - 0,060
Autoreifen auf festgefahrenem Sand 0,040 - 0,080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Gegenwind als positiven Betrag eingeben,
Rückenwind als negativen Betrag.
Windschatten fahren hinter LKW / Bus als
Rückenwind ca. -15 km/h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2,27 m² nach http://www.goingelectric.de/forum/allgemeine-themen/cw-werte-luftwiderstand-t6440.html
bzw. 
2,184 m² nach Berechnung Dr. Marx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1,367 kg/m² bei - 15°C
1,341 kg/m² bei - 10°C
1,316 kg/m² bei -   5°C
1,292 kg/m² bei     0°C
1,269 kg/m² bei +  5°C
1,247 kg/m² bei +10°C
1,225 kg/m³ bei +15°C
1,204 kg/m³ bei +20°C
1,184 kg/m² bei +25°C
1,164 kg/m² bei +30°C
1,145 kg/m² bei +35°C</t>
        </r>
        <r>
          <rPr>
            <sz val="9"/>
            <color indexed="81"/>
            <rFont val="Tahoma"/>
            <family val="2"/>
          </rPr>
          <t xml:space="preserve">
Luftdichte in Abhängigkeit von der Lufttemperatur auf Meereshöhe unter Normdruck von 1013 mbar
de.wikipedia.org/wiki/Luftdichte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0,329 nach http://media.renault.at/?article=1293
bzw.
0,300 nach Dr. Marx http://www.mx-electronic.com/pdf/Energie_f%C3%BCr_100_km_A.pdf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1.503 kg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W. Huller: Sommer ca.  2%,
im Winter je nach Temperatur bis 10%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>1.503 kg Q210
1.555 kg R90</t>
        </r>
      </text>
    </comment>
  </commentList>
</comments>
</file>

<file path=xl/sharedStrings.xml><?xml version="1.0" encoding="utf-8"?>
<sst xmlns="http://schemas.openxmlformats.org/spreadsheetml/2006/main" count="184" uniqueCount="83">
  <si>
    <t>Verbrauch</t>
  </si>
  <si>
    <t>Gesamtzeit</t>
  </si>
  <si>
    <t>Grundverbrauch</t>
  </si>
  <si>
    <t>Rollwiderstand</t>
  </si>
  <si>
    <t>Luftwiderstand</t>
  </si>
  <si>
    <t>m²</t>
  </si>
  <si>
    <t>Steigung</t>
  </si>
  <si>
    <t>Gefälle</t>
  </si>
  <si>
    <t>pro Stunde, z.B. Licht, Radio, Heizung</t>
  </si>
  <si>
    <r>
      <t>F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 1/2 * A * p * v² * C</t>
    </r>
    <r>
      <rPr>
        <vertAlign val="subscript"/>
        <sz val="11"/>
        <color theme="1"/>
        <rFont val="Calibri"/>
        <family val="2"/>
        <scheme val="minor"/>
      </rPr>
      <t>W</t>
    </r>
  </si>
  <si>
    <t>A=</t>
  </si>
  <si>
    <t>Stirnfläche</t>
  </si>
  <si>
    <t>p=</t>
  </si>
  <si>
    <t>Dichte der Luft</t>
  </si>
  <si>
    <t>v=</t>
  </si>
  <si>
    <t>Fahrzeuggeschwindigkeit</t>
  </si>
  <si>
    <r>
      <t>C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=</t>
    </r>
  </si>
  <si>
    <t>Beiwert</t>
  </si>
  <si>
    <t>Umrechnung vom kg/m in N:</t>
  </si>
  <si>
    <r>
      <t>*10</t>
    </r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m² / (12,96*10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</si>
  <si>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F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=m * g * c</t>
    </r>
    <r>
      <rPr>
        <vertAlign val="subscript"/>
        <sz val="11"/>
        <color theme="1"/>
        <rFont val="Calibri"/>
        <family val="2"/>
        <scheme val="minor"/>
      </rPr>
      <t>R</t>
    </r>
  </si>
  <si>
    <t>m=</t>
  </si>
  <si>
    <t>Fahrzeuggewicht</t>
  </si>
  <si>
    <t>g=</t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</si>
  <si>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</si>
  <si>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=</t>
    </r>
  </si>
  <si>
    <t>Rollwiderstandskoeffizient</t>
  </si>
  <si>
    <t xml:space="preserve">Rollwiderstandskoeffizient </t>
  </si>
  <si>
    <t>In der Formel für Roll- und Luftwiderstand ist enthalten:</t>
  </si>
  <si>
    <t>Umrechnung N in kWh:</t>
  </si>
  <si>
    <r>
      <t>N / 100 * 10</t>
    </r>
    <r>
      <rPr>
        <vertAlign val="superscript"/>
        <sz val="11"/>
        <color theme="1"/>
        <rFont val="Calibri"/>
        <family val="2"/>
        <scheme val="minor"/>
      </rPr>
      <t xml:space="preserve">7 </t>
    </r>
    <r>
      <rPr>
        <sz val="11"/>
        <color theme="1"/>
        <rFont val="Calibri"/>
        <family val="2"/>
        <scheme val="minor"/>
      </rPr>
      <t>/ 3600 / 1000</t>
    </r>
  </si>
  <si>
    <t>zusätzlich in kWh berücksichtigt:</t>
  </si>
  <si>
    <t>Stomverbraucher wie Heizung, Licht, Radio als Verbrauch pro Stunde: im Feld Grundverbrauch eingeben</t>
  </si>
  <si>
    <t>Verbrauch für Steigung:</t>
  </si>
  <si>
    <r>
      <t>F=m * g * H</t>
    </r>
    <r>
      <rPr>
        <vertAlign val="subscript"/>
        <sz val="11"/>
        <color theme="1"/>
        <rFont val="Calibri"/>
        <family val="2"/>
        <scheme val="minor"/>
      </rPr>
      <t>diff</t>
    </r>
    <r>
      <rPr>
        <sz val="11"/>
        <color theme="1"/>
        <rFont val="Calibri"/>
        <family val="2"/>
        <scheme val="minor"/>
      </rPr>
      <t xml:space="preserve"> /3600000</t>
    </r>
  </si>
  <si>
    <r>
      <t>H</t>
    </r>
    <r>
      <rPr>
        <vertAlign val="subscript"/>
        <sz val="11"/>
        <color theme="1"/>
        <rFont val="Calibri"/>
        <family val="2"/>
        <scheme val="minor"/>
      </rPr>
      <t>diff</t>
    </r>
    <r>
      <rPr>
        <sz val="11"/>
        <color theme="1"/>
        <rFont val="Calibri"/>
        <family val="2"/>
        <scheme val="minor"/>
      </rPr>
      <t>=</t>
    </r>
  </si>
  <si>
    <t>Höhendifferenz in m</t>
  </si>
  <si>
    <t>360000=</t>
  </si>
  <si>
    <t>Umrechenfaktor in kWh</t>
  </si>
  <si>
    <t>Gewinn für Gefälle (nur näherungsweise)</t>
  </si>
  <si>
    <t>Fahrstrecke bis Ladestation</t>
  </si>
  <si>
    <t>Fahrzeit</t>
  </si>
  <si>
    <t>erstellt: W. Huller / 03.06.2016</t>
  </si>
  <si>
    <t>http://www.mx-electronic.com/pdf/Energie_f%C3%BCr_100_km_A.pdf</t>
  </si>
  <si>
    <t>abgerufen 03.06.2016</t>
  </si>
  <si>
    <t xml:space="preserve">Basis für Berechnung Luft- und Rollwiderstand: </t>
  </si>
  <si>
    <t>nach Prof. Dr.-Ing. Peter Marx, Berlin, Okt. 2013</t>
  </si>
  <si>
    <t>(korrigiert gegenüber Angabe Prof. Dr.Ing. Peter Marx, Berlin)</t>
  </si>
  <si>
    <t>Fahrzeuggewicht mit Fahrergewicht</t>
  </si>
  <si>
    <t>(Fahrer im Fahrzeuggewicht enthalten)</t>
  </si>
  <si>
    <t>Verluste im elektrischen Antriebsstrang in %</t>
  </si>
  <si>
    <t>negativer Verbrauch für Steigung mit Faktor</t>
  </si>
  <si>
    <t>Eingabe der Fahrstrecke</t>
  </si>
  <si>
    <t>Wert für energ.effiz.Sommerreifen ca. 0,009 bzw. Winterreifen ca. 0,015 eingeben</t>
  </si>
  <si>
    <t>Abschätzung von Verbrauch nach Geschwindigkeit</t>
  </si>
  <si>
    <t>Bei Verbrauch über der Akkukapazität wird der Wert des Verbrauchs mit blassen Buchstaben angezeigt, Fahrziel ohne Zwischenladen nicht erreichbar:</t>
  </si>
  <si>
    <t>Umwelt- und Verkehrsbedingungen wie Nässe auf der Fahrbahn, Gegenwind, Außentemperatur oder Staus können zu erhöhtem Verbrauch führen!</t>
  </si>
  <si>
    <t>Hinweis: Die Tabelle dient zum Abschätzen der Fahr- und Ladezeit-optimalen Fahrgeschwindigkeit in Abhängigkeit der Ladestärke der Ladestation am Fahrziel.</t>
  </si>
  <si>
    <t xml:space="preserve">Luft-
widerstand </t>
  </si>
  <si>
    <t>Zuschlag An- und Abfahrt</t>
  </si>
  <si>
    <t>Verbrauch wegen Roll- widerstand</t>
  </si>
  <si>
    <t>Verbrauch wegen Steigung / Gefälle</t>
  </si>
  <si>
    <t>zur Ladestation</t>
  </si>
  <si>
    <t>kg incl. Zuladung</t>
  </si>
  <si>
    <t>Eingabe in Stunden, z.B. 0,1 für 6 min.</t>
  </si>
  <si>
    <t>z.B. Anstiegangabe nach goingelectric-Routenplaner</t>
  </si>
  <si>
    <t>z.B. Gefälleangabe nach goingelectric-Routenplaner</t>
  </si>
  <si>
    <t>Grund-verbrauch</t>
  </si>
  <si>
    <t>Verbrauch wegen Luft-widerstand</t>
  </si>
  <si>
    <t>Roll-
widerstand</t>
  </si>
  <si>
    <t>an</t>
  </si>
  <si>
    <t>Ladezeit</t>
  </si>
  <si>
    <t>Gegenwind / Rückenwind</t>
  </si>
  <si>
    <t>Gegenwind als positiven, Rückenwind als negativen Betrag, Windschatten fahren hinter LKW / Bus als Rückenwind ca. -15km/h</t>
  </si>
  <si>
    <t>Zuladung (Mitfahrer+Gepäck)</t>
  </si>
  <si>
    <t>kg/m³ : Werte je nach Außentemperatur korrigieren, z.B.bei 20°C: 1,204; bei 10°C: 1,247; bei 0°C: 1,292</t>
  </si>
  <si>
    <t>Wir-kungs-grad Motor</t>
  </si>
  <si>
    <t>Hinweis: Tabelle nur für Akkuladestand bis 82% entspr. 33 kW gültig! Danach keine lineare Ladezeit an 22kW, Felder werden rot hinterlegt!</t>
  </si>
  <si>
    <t>32,57 kWh</t>
  </si>
  <si>
    <t>43,56 kWh</t>
  </si>
  <si>
    <t>überarbeitet: W. Huller / 22.08.2016 / 16.09.2016 / 15.02.2017 (R90)</t>
  </si>
  <si>
    <t>Renault Zoe Q90</t>
  </si>
  <si>
    <t>überarbeitet: W. Huller / 22.08.2016 / 16.09.2016 / 15.02.2017 (R90) / 04.09.2017 (Q90)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</si>
</sst>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.00\ &quot;€&quot;"/>
    <numFmt numFmtId="165" formatCode="#,###\ &quot;N&quot;"/>
    <numFmt numFmtId="166" formatCode="#,##0.00\ &quot;km&quot;"/>
    <numFmt numFmtId="167" formatCode="#,##0.00\ &quot;h&quot;"/>
    <numFmt numFmtId="168" formatCode="#,##0.00\ &quot;kWh&quot;"/>
    <numFmt numFmtId="169" formatCode="#,##0\ &quot;kW&quot;"/>
    <numFmt numFmtId="170" formatCode="#,##0\ &quot;kg&quot;"/>
    <numFmt numFmtId="171" formatCode="#,###.##\ &quot;m/sec2&quot;"/>
    <numFmt numFmtId="172" formatCode="#,##0\ &quot;m&quot;"/>
    <numFmt numFmtId="173" formatCode="#,###.##\ &quot;kWh&quot;"/>
    <numFmt numFmtId="174" formatCode="#,##0.00\ &quot;m&quot;"/>
    <numFmt numFmtId="175" formatCode="0.000"/>
    <numFmt numFmtId="176" formatCode="#,##0.00\ &quot;km/h&quot;"/>
    <numFmt numFmtId="177" formatCode="#,##0.0000\ &quot;€&quot;"/>
    <numFmt numFmtId="178" formatCode="#,##0.0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164" fontId="0" fillId="0" borderId="0" xfId="0" applyNumberFormat="1"/>
    <xf numFmtId="0" fontId="1" fillId="0" borderId="0" xfId="0" applyFont="1"/>
    <xf numFmtId="0" fontId="5" fillId="2" borderId="0" xfId="0" applyFont="1" applyFill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wrapText="1"/>
    </xf>
    <xf numFmtId="165" fontId="0" fillId="2" borderId="1" xfId="0" applyNumberFormat="1" applyFill="1" applyBorder="1"/>
    <xf numFmtId="167" fontId="0" fillId="2" borderId="1" xfId="0" applyNumberFormat="1" applyFill="1" applyBorder="1"/>
    <xf numFmtId="168" fontId="0" fillId="2" borderId="2" xfId="0" applyNumberFormat="1" applyFill="1" applyBorder="1"/>
    <xf numFmtId="167" fontId="0" fillId="2" borderId="3" xfId="0" applyNumberFormat="1" applyFill="1" applyBorder="1"/>
    <xf numFmtId="167" fontId="0" fillId="2" borderId="4" xfId="0" applyNumberFormat="1" applyFill="1" applyBorder="1"/>
    <xf numFmtId="0" fontId="2" fillId="2" borderId="0" xfId="0" applyFont="1" applyFill="1"/>
    <xf numFmtId="165" fontId="0" fillId="2" borderId="0" xfId="0" applyNumberFormat="1" applyFill="1"/>
    <xf numFmtId="2" fontId="0" fillId="2" borderId="0" xfId="0" applyNumberFormat="1" applyFill="1"/>
    <xf numFmtId="170" fontId="0" fillId="2" borderId="0" xfId="0" applyNumberFormat="1" applyFill="1"/>
    <xf numFmtId="171" fontId="0" fillId="2" borderId="0" xfId="0" applyNumberFormat="1" applyFill="1"/>
    <xf numFmtId="172" fontId="0" fillId="2" borderId="0" xfId="0" applyNumberFormat="1" applyFill="1"/>
    <xf numFmtId="173" fontId="0" fillId="2" borderId="0" xfId="0" applyNumberFormat="1" applyFill="1"/>
    <xf numFmtId="0" fontId="6" fillId="2" borderId="0" xfId="1" applyFill="1" applyAlignment="1" applyProtection="1"/>
    <xf numFmtId="169" fontId="2" fillId="2" borderId="3" xfId="0" applyNumberFormat="1" applyFont="1" applyFill="1" applyBorder="1"/>
    <xf numFmtId="169" fontId="2" fillId="2" borderId="4" xfId="0" applyNumberFormat="1" applyFont="1" applyFill="1" applyBorder="1"/>
    <xf numFmtId="0" fontId="0" fillId="3" borderId="0" xfId="0" applyFill="1" applyAlignment="1">
      <alignment horizontal="right"/>
    </xf>
    <xf numFmtId="0" fontId="9" fillId="3" borderId="0" xfId="0" applyFont="1" applyFill="1" applyAlignment="1">
      <alignment horizontal="right"/>
    </xf>
    <xf numFmtId="166" fontId="0" fillId="2" borderId="0" xfId="0" applyNumberFormat="1" applyFill="1" applyBorder="1" applyProtection="1">
      <protection locked="0"/>
    </xf>
    <xf numFmtId="168" fontId="0" fillId="2" borderId="0" xfId="0" applyNumberFormat="1" applyFill="1" applyBorder="1" applyProtection="1">
      <protection locked="0"/>
    </xf>
    <xf numFmtId="174" fontId="0" fillId="2" borderId="0" xfId="0" applyNumberFormat="1" applyFill="1" applyBorder="1" applyProtection="1">
      <protection locked="0"/>
    </xf>
    <xf numFmtId="170" fontId="0" fillId="2" borderId="0" xfId="0" applyNumberFormat="1" applyFill="1" applyBorder="1" applyProtection="1">
      <protection locked="0"/>
    </xf>
    <xf numFmtId="175" fontId="0" fillId="2" borderId="0" xfId="0" applyNumberFormat="1" applyFill="1" applyBorder="1" applyProtection="1">
      <protection locked="0"/>
    </xf>
    <xf numFmtId="176" fontId="0" fillId="2" borderId="1" xfId="0" applyNumberFormat="1" applyFill="1" applyBorder="1" applyProtection="1">
      <protection locked="0"/>
    </xf>
    <xf numFmtId="0" fontId="0" fillId="2" borderId="5" xfId="0" applyFill="1" applyBorder="1" applyAlignment="1">
      <alignment wrapText="1"/>
    </xf>
    <xf numFmtId="168" fontId="0" fillId="2" borderId="1" xfId="0" applyNumberFormat="1" applyFill="1" applyBorder="1"/>
    <xf numFmtId="175" fontId="0" fillId="2" borderId="0" xfId="0" applyNumberFormat="1" applyFill="1"/>
    <xf numFmtId="174" fontId="0" fillId="2" borderId="0" xfId="0" applyNumberFormat="1" applyFill="1"/>
    <xf numFmtId="176" fontId="0" fillId="2" borderId="6" xfId="0" applyNumberFormat="1" applyFill="1" applyBorder="1" applyProtection="1">
      <protection locked="0"/>
    </xf>
    <xf numFmtId="165" fontId="2" fillId="2" borderId="5" xfId="0" applyNumberFormat="1" applyFont="1" applyFill="1" applyBorder="1"/>
    <xf numFmtId="165" fontId="2" fillId="2" borderId="1" xfId="0" applyNumberFormat="1" applyFont="1" applyFill="1" applyBorder="1"/>
    <xf numFmtId="168" fontId="2" fillId="2" borderId="1" xfId="0" applyNumberFormat="1" applyFont="1" applyFill="1" applyBorder="1"/>
    <xf numFmtId="167" fontId="2" fillId="2" borderId="1" xfId="0" applyNumberFormat="1" applyFont="1" applyFill="1" applyBorder="1"/>
    <xf numFmtId="168" fontId="2" fillId="2" borderId="2" xfId="0" applyNumberFormat="1" applyFont="1" applyFill="1" applyBorder="1"/>
    <xf numFmtId="167" fontId="2" fillId="2" borderId="3" xfId="0" applyNumberFormat="1" applyFont="1" applyFill="1" applyBorder="1"/>
    <xf numFmtId="167" fontId="2" fillId="2" borderId="4" xfId="0" applyNumberFormat="1" applyFont="1" applyFill="1" applyBorder="1"/>
    <xf numFmtId="177" fontId="0" fillId="0" borderId="0" xfId="0" applyNumberFormat="1"/>
    <xf numFmtId="0" fontId="10" fillId="2" borderId="0" xfId="0" applyFont="1" applyFill="1"/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6" xfId="0" applyFont="1" applyFill="1" applyBorder="1"/>
    <xf numFmtId="0" fontId="0" fillId="2" borderId="6" xfId="0" applyFill="1" applyBorder="1"/>
    <xf numFmtId="0" fontId="2" fillId="2" borderId="6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0" fontId="2" fillId="2" borderId="13" xfId="0" applyFont="1" applyFill="1" applyBorder="1"/>
    <xf numFmtId="0" fontId="0" fillId="2" borderId="0" xfId="0" applyFill="1" applyAlignment="1"/>
    <xf numFmtId="176" fontId="2" fillId="0" borderId="14" xfId="0" applyNumberFormat="1" applyFont="1" applyFill="1" applyBorder="1" applyProtection="1">
      <protection locked="0"/>
    </xf>
    <xf numFmtId="166" fontId="2" fillId="0" borderId="14" xfId="0" applyNumberFormat="1" applyFont="1" applyFill="1" applyBorder="1" applyProtection="1">
      <protection locked="0"/>
    </xf>
    <xf numFmtId="167" fontId="2" fillId="0" borderId="14" xfId="0" applyNumberFormat="1" applyFont="1" applyFill="1" applyBorder="1"/>
    <xf numFmtId="168" fontId="2" fillId="0" borderId="14" xfId="0" applyNumberFormat="1" applyFont="1" applyFill="1" applyBorder="1" applyProtection="1">
      <protection locked="0"/>
    </xf>
    <xf numFmtId="174" fontId="2" fillId="0" borderId="14" xfId="0" applyNumberFormat="1" applyFont="1" applyFill="1" applyBorder="1" applyProtection="1">
      <protection locked="0"/>
    </xf>
    <xf numFmtId="170" fontId="2" fillId="0" borderId="14" xfId="0" applyNumberFormat="1" applyFont="1" applyFill="1" applyBorder="1" applyProtection="1">
      <protection locked="0"/>
    </xf>
    <xf numFmtId="175" fontId="2" fillId="0" borderId="14" xfId="0" applyNumberFormat="1" applyFont="1" applyFill="1" applyBorder="1" applyProtection="1">
      <protection locked="0"/>
    </xf>
    <xf numFmtId="175" fontId="2" fillId="0" borderId="0" xfId="0" applyNumberFormat="1" applyFont="1" applyFill="1" applyBorder="1" applyProtection="1">
      <protection locked="0"/>
    </xf>
    <xf numFmtId="178" fontId="0" fillId="2" borderId="1" xfId="0" applyNumberFormat="1" applyFill="1" applyBorder="1"/>
    <xf numFmtId="178" fontId="2" fillId="0" borderId="1" xfId="0" applyNumberFormat="1" applyFont="1" applyFill="1" applyBorder="1"/>
    <xf numFmtId="175" fontId="2" fillId="0" borderId="14" xfId="0" applyNumberFormat="1" applyFont="1" applyFill="1" applyBorder="1"/>
    <xf numFmtId="9" fontId="2" fillId="0" borderId="14" xfId="0" applyNumberFormat="1" applyFont="1" applyFill="1" applyBorder="1" applyProtection="1">
      <protection locked="0"/>
    </xf>
  </cellXfs>
  <cellStyles count="2">
    <cellStyle name="Hyperlink" xfId="1" builtinId="8"/>
    <cellStyle name="Standard" xfId="0" builtinId="0"/>
  </cellStyles>
  <dxfs count="16">
    <dxf>
      <fill>
        <patternFill>
          <bgColor rgb="FFCCFF99"/>
        </patternFill>
      </fill>
    </dxf>
    <dxf>
      <fill>
        <patternFill>
          <bgColor rgb="FF92D050"/>
        </patternFill>
      </fill>
    </dxf>
    <dxf>
      <fill>
        <patternFill>
          <bgColor rgb="FFCCFF99"/>
        </patternFill>
      </fill>
    </dxf>
    <dxf>
      <fill>
        <patternFill>
          <bgColor rgb="FF92D050"/>
        </patternFill>
      </fill>
    </dxf>
    <dxf>
      <fill>
        <patternFill>
          <bgColor rgb="FFCCFF99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CFF99"/>
        </patternFill>
      </fill>
    </dxf>
    <dxf>
      <fill>
        <patternFill>
          <bgColor rgb="FF92D050"/>
        </patternFill>
      </fill>
    </dxf>
    <dxf>
      <fill>
        <patternFill>
          <bgColor rgb="FFCCFF99"/>
        </patternFill>
      </fill>
    </dxf>
    <dxf>
      <fill>
        <patternFill>
          <bgColor rgb="FF92D050"/>
        </patternFill>
      </fill>
    </dxf>
    <dxf>
      <fill>
        <patternFill>
          <bgColor rgb="FFCCFF99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FFFF99"/>
      <color rgb="FFCCFF99"/>
      <color rgb="FF00FF00"/>
      <color rgb="FF99FF33"/>
      <color rgb="FF66FF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x-electronic.com/pdf/Energie_f%C3%BCr_100_km_A.pdf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x-electronic.com/pdf/Energie_f%C3%BCr_100_km_A.pdf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topLeftCell="A52" workbookViewId="0">
      <selection activeCell="I80" sqref="I80"/>
    </sheetView>
  </sheetViews>
  <sheetFormatPr baseColWidth="10" defaultRowHeight="15" x14ac:dyDescent="0.25"/>
  <cols>
    <col min="1" max="1" width="15.85546875" customWidth="1"/>
    <col min="2" max="2" width="10.7109375" customWidth="1"/>
    <col min="3" max="3" width="11.28515625" customWidth="1"/>
    <col min="4" max="6" width="11" customWidth="1"/>
    <col min="7" max="7" width="7.140625" customWidth="1"/>
    <col min="8" max="8" width="10.42578125" customWidth="1"/>
    <col min="9" max="9" width="8.7109375" customWidth="1"/>
    <col min="10" max="10" width="11" customWidth="1"/>
    <col min="11" max="11" width="8.7109375" customWidth="1"/>
    <col min="12" max="12" width="10.7109375" customWidth="1"/>
    <col min="13" max="13" width="8.7109375" customWidth="1"/>
    <col min="14" max="14" width="10.7109375" customWidth="1"/>
    <col min="15" max="15" width="8.7109375" customWidth="1"/>
    <col min="16" max="16" width="10.7109375" customWidth="1"/>
  </cols>
  <sheetData>
    <row r="1" spans="1:20" ht="30.75" customHeight="1" x14ac:dyDescent="0.35">
      <c r="A1" s="3" t="s">
        <v>81</v>
      </c>
      <c r="B1" s="4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0" x14ac:dyDescent="0.25">
      <c r="A2" s="46" t="s">
        <v>54</v>
      </c>
      <c r="B2" s="47"/>
      <c r="C2" s="47"/>
      <c r="D2" s="47"/>
      <c r="E2" s="47"/>
      <c r="F2" s="47"/>
      <c r="G2" s="47"/>
      <c r="H2" s="47"/>
      <c r="I2" s="48" t="s">
        <v>41</v>
      </c>
      <c r="J2" s="49" t="s">
        <v>0</v>
      </c>
      <c r="K2" s="44" t="s">
        <v>71</v>
      </c>
      <c r="L2" s="50" t="s">
        <v>1</v>
      </c>
      <c r="M2" s="44" t="s">
        <v>71</v>
      </c>
      <c r="N2" s="50" t="s">
        <v>1</v>
      </c>
      <c r="O2" s="44" t="s">
        <v>71</v>
      </c>
      <c r="P2" s="50" t="s">
        <v>1</v>
      </c>
      <c r="R2" s="1"/>
      <c r="T2" s="2"/>
    </row>
    <row r="3" spans="1:20" ht="10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2"/>
      <c r="K3" s="45" t="s">
        <v>70</v>
      </c>
      <c r="L3" s="53"/>
      <c r="M3" s="45" t="s">
        <v>70</v>
      </c>
      <c r="N3" s="53"/>
      <c r="O3" s="45" t="s">
        <v>70</v>
      </c>
      <c r="P3" s="53"/>
      <c r="R3" s="1"/>
      <c r="T3" s="2"/>
    </row>
    <row r="4" spans="1:20" ht="60" x14ac:dyDescent="0.25">
      <c r="A4" s="4"/>
      <c r="B4" s="6" t="s">
        <v>58</v>
      </c>
      <c r="C4" s="6" t="s">
        <v>68</v>
      </c>
      <c r="D4" s="6" t="s">
        <v>69</v>
      </c>
      <c r="E4" s="6" t="s">
        <v>60</v>
      </c>
      <c r="F4" s="30" t="s">
        <v>61</v>
      </c>
      <c r="G4" s="30" t="s">
        <v>76</v>
      </c>
      <c r="H4" s="6" t="s">
        <v>67</v>
      </c>
      <c r="I4" s="4"/>
      <c r="J4" s="5"/>
      <c r="K4" s="20">
        <v>43</v>
      </c>
      <c r="L4" s="21">
        <f>K4</f>
        <v>43</v>
      </c>
      <c r="M4" s="20">
        <v>22</v>
      </c>
      <c r="N4" s="21">
        <f>M4</f>
        <v>22</v>
      </c>
      <c r="O4" s="20">
        <v>11</v>
      </c>
      <c r="P4" s="21">
        <f>O4</f>
        <v>11</v>
      </c>
      <c r="R4" s="1"/>
      <c r="T4" s="2"/>
    </row>
    <row r="5" spans="1:20" x14ac:dyDescent="0.25">
      <c r="A5" s="29">
        <v>50</v>
      </c>
      <c r="B5" s="7">
        <f>ROUND(0.5*E$35*E$36*(A5+C$29)^2*E$38/10000*10^10/(12.96*10^6),0)</f>
        <v>93</v>
      </c>
      <c r="C5" s="31">
        <f>B5/100*10^7/3600/1000*(1+E$49)/100*C$18</f>
        <v>5.4766666666666675</v>
      </c>
      <c r="D5" s="7">
        <f>ROUND((E$43)*E$44*C$27,0)</f>
        <v>229</v>
      </c>
      <c r="E5" s="31">
        <f>D5/100*10^7/3600/1000*(1+E$49)/100*C$18</f>
        <v>13.485555555555557</v>
      </c>
      <c r="F5" s="31">
        <f>+(E$56)*E$57*C$23/3600000*(1+E$49)-(E$56)*E$57*C$24/3600000*E$62*(1+E$49)</f>
        <v>0</v>
      </c>
      <c r="G5" s="63">
        <v>0.92</v>
      </c>
      <c r="H5" s="31">
        <f>$C$21*I5</f>
        <v>8</v>
      </c>
      <c r="I5" s="8">
        <f>C$18/A5+C$19</f>
        <v>4</v>
      </c>
      <c r="J5" s="9">
        <f>(C5+E5+F5)/G5+H5</f>
        <v>28.611111111111111</v>
      </c>
      <c r="K5" s="10">
        <f>$J5/(K$4-8)</f>
        <v>0.81746031746031744</v>
      </c>
      <c r="L5" s="11">
        <f>IF(J5&gt;33,1000000,$I5+K5)</f>
        <v>4.8174603174603172</v>
      </c>
      <c r="M5" s="10">
        <f>$J5/(M$4-2)</f>
        <v>1.4305555555555556</v>
      </c>
      <c r="N5" s="11">
        <f>IF(J5&gt;33,1000000,$I5+M5)</f>
        <v>5.4305555555555554</v>
      </c>
      <c r="O5" s="10">
        <f>$J5/(O$4-2)</f>
        <v>3.1790123456790123</v>
      </c>
      <c r="P5" s="11">
        <f>IF(J5&gt;33,1000000,$I5+O5)</f>
        <v>7.1790123456790127</v>
      </c>
      <c r="R5" s="1"/>
      <c r="T5" s="2"/>
    </row>
    <row r="6" spans="1:20" x14ac:dyDescent="0.25">
      <c r="A6" s="29">
        <v>60</v>
      </c>
      <c r="B6" s="7">
        <f t="shared" ref="B6:B14" si="0">ROUND(0.5*E$35*E$36*(A6+C$29)^2*E$38/10000*10^10/(12.96*10^6),0)</f>
        <v>134</v>
      </c>
      <c r="C6" s="31">
        <f t="shared" ref="C6:C14" si="1">B6/100*10^7/3600/1000*(1+E$49)/100*C$18</f>
        <v>7.891111111111111</v>
      </c>
      <c r="D6" s="7">
        <f t="shared" ref="D6:D14" si="2">ROUND((E$43)*E$44*C$27,0)</f>
        <v>229</v>
      </c>
      <c r="E6" s="31">
        <f t="shared" ref="E6:E9" si="3">D6/100*10^7/3600/1000*(1+E$49)/100*C$18</f>
        <v>13.485555555555557</v>
      </c>
      <c r="F6" s="31">
        <f t="shared" ref="F6:F14" si="4">+(E$56)*E$57*C$23/3600000*(1+E$49)-(E$56)*E$57*C$24/3600000*E$62*(1+E$49)</f>
        <v>0</v>
      </c>
      <c r="G6" s="63">
        <v>0.94499999999999995</v>
      </c>
      <c r="H6" s="31">
        <f t="shared" ref="H6:H14" si="5">$C$21*I6</f>
        <v>6.666666666666667</v>
      </c>
      <c r="I6" s="8">
        <f t="shared" ref="I6:I14" si="6">C$18/A6+C$19</f>
        <v>3.3333333333333335</v>
      </c>
      <c r="J6" s="9">
        <f t="shared" ref="J6:J14" si="7">(C6+E6+F6)/G6+H6</f>
        <v>29.287477954144624</v>
      </c>
      <c r="K6" s="10">
        <f t="shared" ref="K6:K14" si="8">$J6/(K$4-8)</f>
        <v>0.83678508440413213</v>
      </c>
      <c r="L6" s="11">
        <f t="shared" ref="L6:L14" si="9">IF(J6&gt;33,1000000,$I6+K6)</f>
        <v>4.1701184177374655</v>
      </c>
      <c r="M6" s="10">
        <f>$J6/(M$4-2)</f>
        <v>1.4643738977072311</v>
      </c>
      <c r="N6" s="11">
        <f t="shared" ref="N6:N14" si="10">IF(J6&gt;33,1000000,$I6+M6)</f>
        <v>4.7977072310405644</v>
      </c>
      <c r="O6" s="10">
        <f t="shared" ref="O6:O14" si="11">$J6/(O$4-2)</f>
        <v>3.2541642171271805</v>
      </c>
      <c r="P6" s="11">
        <f t="shared" ref="P6:P14" si="12">IF(J6&gt;33,1000000,$I6+O6)</f>
        <v>6.5874975504605136</v>
      </c>
      <c r="R6" s="1"/>
      <c r="T6" s="2"/>
    </row>
    <row r="7" spans="1:20" x14ac:dyDescent="0.25">
      <c r="A7" s="29">
        <v>70</v>
      </c>
      <c r="B7" s="7">
        <f t="shared" si="0"/>
        <v>182</v>
      </c>
      <c r="C7" s="31">
        <f t="shared" si="1"/>
        <v>10.717777777777778</v>
      </c>
      <c r="D7" s="7">
        <f t="shared" si="2"/>
        <v>229</v>
      </c>
      <c r="E7" s="31">
        <f t="shared" si="3"/>
        <v>13.485555555555557</v>
      </c>
      <c r="F7" s="31">
        <f t="shared" si="4"/>
        <v>0</v>
      </c>
      <c r="G7" s="63">
        <v>0.97</v>
      </c>
      <c r="H7" s="31">
        <f t="shared" si="5"/>
        <v>5.7142857142857144</v>
      </c>
      <c r="I7" s="8">
        <f t="shared" si="6"/>
        <v>2.8571428571428572</v>
      </c>
      <c r="J7" s="9">
        <f t="shared" si="7"/>
        <v>30.666175748649977</v>
      </c>
      <c r="K7" s="10">
        <f t="shared" si="8"/>
        <v>0.87617644996142785</v>
      </c>
      <c r="L7" s="11">
        <f t="shared" si="9"/>
        <v>3.7333193071042849</v>
      </c>
      <c r="M7" s="10">
        <f>$J7/(M$4-2)</f>
        <v>1.5333087874324989</v>
      </c>
      <c r="N7" s="11">
        <f t="shared" si="10"/>
        <v>4.3904516445753563</v>
      </c>
      <c r="O7" s="10">
        <f t="shared" si="11"/>
        <v>3.4073528609611086</v>
      </c>
      <c r="P7" s="11">
        <f t="shared" si="12"/>
        <v>6.2644957181039658</v>
      </c>
      <c r="R7" s="1"/>
      <c r="T7" s="2"/>
    </row>
    <row r="8" spans="1:20" x14ac:dyDescent="0.25">
      <c r="A8" s="29">
        <v>80</v>
      </c>
      <c r="B8" s="7">
        <f t="shared" si="0"/>
        <v>238</v>
      </c>
      <c r="C8" s="31">
        <f t="shared" si="1"/>
        <v>14.015555555555558</v>
      </c>
      <c r="D8" s="7">
        <f t="shared" si="2"/>
        <v>229</v>
      </c>
      <c r="E8" s="31">
        <f t="shared" si="3"/>
        <v>13.485555555555557</v>
      </c>
      <c r="F8" s="31">
        <f t="shared" si="4"/>
        <v>0</v>
      </c>
      <c r="G8" s="63">
        <v>0.97</v>
      </c>
      <c r="H8" s="31">
        <f t="shared" si="5"/>
        <v>5</v>
      </c>
      <c r="I8" s="8">
        <f t="shared" si="6"/>
        <v>2.5</v>
      </c>
      <c r="J8" s="9">
        <f t="shared" si="7"/>
        <v>33.351660939289815</v>
      </c>
      <c r="K8" s="10">
        <f t="shared" si="8"/>
        <v>0.95290459826542329</v>
      </c>
      <c r="L8" s="11">
        <f t="shared" si="9"/>
        <v>1000000</v>
      </c>
      <c r="M8" s="10">
        <f>$J8/(M$4-2)</f>
        <v>1.6675830469644908</v>
      </c>
      <c r="N8" s="11">
        <f t="shared" si="10"/>
        <v>1000000</v>
      </c>
      <c r="O8" s="10">
        <f t="shared" si="11"/>
        <v>3.7057401043655349</v>
      </c>
      <c r="P8" s="11">
        <f t="shared" si="12"/>
        <v>1000000</v>
      </c>
      <c r="R8" s="1"/>
      <c r="T8" s="2"/>
    </row>
    <row r="9" spans="1:20" x14ac:dyDescent="0.25">
      <c r="A9" s="29">
        <v>90</v>
      </c>
      <c r="B9" s="7">
        <f t="shared" si="0"/>
        <v>302</v>
      </c>
      <c r="C9" s="31">
        <f t="shared" si="1"/>
        <v>17.784444444444446</v>
      </c>
      <c r="D9" s="7">
        <f t="shared" si="2"/>
        <v>229</v>
      </c>
      <c r="E9" s="31">
        <f t="shared" si="3"/>
        <v>13.485555555555557</v>
      </c>
      <c r="F9" s="31">
        <f t="shared" si="4"/>
        <v>0</v>
      </c>
      <c r="G9" s="63">
        <v>0.97</v>
      </c>
      <c r="H9" s="31">
        <f t="shared" si="5"/>
        <v>4.4444444444444446</v>
      </c>
      <c r="I9" s="8">
        <f t="shared" si="6"/>
        <v>2.2222222222222223</v>
      </c>
      <c r="J9" s="9">
        <f t="shared" si="7"/>
        <v>36.681557846506301</v>
      </c>
      <c r="K9" s="10">
        <f t="shared" si="8"/>
        <v>1.0480445099001801</v>
      </c>
      <c r="L9" s="11">
        <f t="shared" si="9"/>
        <v>1000000</v>
      </c>
      <c r="M9" s="10">
        <f t="shared" ref="M9:M14" si="13">$J9/(M$4-2)</f>
        <v>1.8340778923253152</v>
      </c>
      <c r="N9" s="11">
        <f t="shared" si="10"/>
        <v>1000000</v>
      </c>
      <c r="O9" s="10">
        <f t="shared" si="11"/>
        <v>4.0757286496118112</v>
      </c>
      <c r="P9" s="11">
        <f t="shared" si="12"/>
        <v>1000000</v>
      </c>
      <c r="R9" s="1"/>
      <c r="T9" s="2"/>
    </row>
    <row r="10" spans="1:20" x14ac:dyDescent="0.25">
      <c r="A10" s="29">
        <v>100</v>
      </c>
      <c r="B10" s="7">
        <f t="shared" si="0"/>
        <v>372</v>
      </c>
      <c r="C10" s="31">
        <f>B10/100*10^7/3600/1000*(1+E$49)/100*C$18</f>
        <v>21.90666666666667</v>
      </c>
      <c r="D10" s="7">
        <f t="shared" si="2"/>
        <v>229</v>
      </c>
      <c r="E10" s="31">
        <f>D10/100*10^7/3600/1000*(1+E$49)/100*C$18</f>
        <v>13.485555555555557</v>
      </c>
      <c r="F10" s="31">
        <f t="shared" si="4"/>
        <v>0</v>
      </c>
      <c r="G10" s="63">
        <v>0.9</v>
      </c>
      <c r="H10" s="31">
        <f t="shared" si="5"/>
        <v>4</v>
      </c>
      <c r="I10" s="8">
        <f t="shared" si="6"/>
        <v>2</v>
      </c>
      <c r="J10" s="9">
        <f t="shared" si="7"/>
        <v>43.324691358024701</v>
      </c>
      <c r="K10" s="10">
        <f t="shared" si="8"/>
        <v>1.2378483245149914</v>
      </c>
      <c r="L10" s="11">
        <f t="shared" si="9"/>
        <v>1000000</v>
      </c>
      <c r="M10" s="10">
        <f t="shared" si="13"/>
        <v>2.1662345679012351</v>
      </c>
      <c r="N10" s="11">
        <f t="shared" si="10"/>
        <v>1000000</v>
      </c>
      <c r="O10" s="10">
        <f t="shared" si="11"/>
        <v>4.8138545953360783</v>
      </c>
      <c r="P10" s="11">
        <f t="shared" si="12"/>
        <v>1000000</v>
      </c>
      <c r="R10" s="1"/>
      <c r="T10" s="2"/>
    </row>
    <row r="11" spans="1:20" x14ac:dyDescent="0.25">
      <c r="A11" s="29">
        <v>110</v>
      </c>
      <c r="B11" s="7">
        <f t="shared" si="0"/>
        <v>450</v>
      </c>
      <c r="C11" s="31">
        <f t="shared" si="1"/>
        <v>26.5</v>
      </c>
      <c r="D11" s="7">
        <f t="shared" si="2"/>
        <v>229</v>
      </c>
      <c r="E11" s="31">
        <f t="shared" ref="E11:E14" si="14">D11/100*10^7/3600/1000*(1+E$49)/100*C$18</f>
        <v>13.485555555555557</v>
      </c>
      <c r="F11" s="31">
        <f t="shared" si="4"/>
        <v>0</v>
      </c>
      <c r="G11" s="63">
        <v>0.86</v>
      </c>
      <c r="H11" s="31">
        <f t="shared" si="5"/>
        <v>3.6363636363636362</v>
      </c>
      <c r="I11" s="8">
        <f t="shared" si="6"/>
        <v>1.8181818181818181</v>
      </c>
      <c r="J11" s="9">
        <f t="shared" si="7"/>
        <v>50.131195677707304</v>
      </c>
      <c r="K11" s="10">
        <f t="shared" si="8"/>
        <v>1.4323198765059229</v>
      </c>
      <c r="L11" s="11">
        <f t="shared" si="9"/>
        <v>1000000</v>
      </c>
      <c r="M11" s="10">
        <f t="shared" si="13"/>
        <v>2.5065597838853653</v>
      </c>
      <c r="N11" s="11">
        <f t="shared" si="10"/>
        <v>1000000</v>
      </c>
      <c r="O11" s="10">
        <f t="shared" si="11"/>
        <v>5.5701328530785892</v>
      </c>
      <c r="P11" s="11">
        <f t="shared" si="12"/>
        <v>1000000</v>
      </c>
      <c r="R11" s="1"/>
      <c r="T11" s="2"/>
    </row>
    <row r="12" spans="1:20" x14ac:dyDescent="0.25">
      <c r="A12" s="29">
        <v>120</v>
      </c>
      <c r="B12" s="7">
        <f t="shared" si="0"/>
        <v>536</v>
      </c>
      <c r="C12" s="31">
        <f t="shared" si="1"/>
        <v>31.564444444444444</v>
      </c>
      <c r="D12" s="7">
        <f t="shared" si="2"/>
        <v>229</v>
      </c>
      <c r="E12" s="31">
        <f t="shared" si="14"/>
        <v>13.485555555555557</v>
      </c>
      <c r="F12" s="31">
        <f t="shared" si="4"/>
        <v>0</v>
      </c>
      <c r="G12" s="63">
        <v>0.82</v>
      </c>
      <c r="H12" s="31">
        <f t="shared" si="5"/>
        <v>3.3333333333333335</v>
      </c>
      <c r="I12" s="8">
        <f t="shared" si="6"/>
        <v>1.6666666666666667</v>
      </c>
      <c r="J12" s="9">
        <f t="shared" si="7"/>
        <v>58.272357723577237</v>
      </c>
      <c r="K12" s="10">
        <f t="shared" si="8"/>
        <v>1.664924506387921</v>
      </c>
      <c r="L12" s="11">
        <f t="shared" si="9"/>
        <v>1000000</v>
      </c>
      <c r="M12" s="10">
        <f t="shared" si="13"/>
        <v>2.9136178861788617</v>
      </c>
      <c r="N12" s="11">
        <f t="shared" si="10"/>
        <v>1000000</v>
      </c>
      <c r="O12" s="10">
        <f t="shared" si="11"/>
        <v>6.4747064137308037</v>
      </c>
      <c r="P12" s="11">
        <f t="shared" si="12"/>
        <v>1000000</v>
      </c>
      <c r="R12" s="1"/>
      <c r="T12" s="2"/>
    </row>
    <row r="13" spans="1:20" ht="15.75" thickBot="1" x14ac:dyDescent="0.3">
      <c r="A13" s="34">
        <v>135</v>
      </c>
      <c r="B13" s="7">
        <f>ROUND(0.5*E$35*E$36*(A13+C$29)^2*E$38/10000*10^10/(12.96*10^6),0)</f>
        <v>678</v>
      </c>
      <c r="C13" s="31">
        <f t="shared" si="1"/>
        <v>39.926666666666669</v>
      </c>
      <c r="D13" s="7">
        <f t="shared" si="2"/>
        <v>229</v>
      </c>
      <c r="E13" s="31">
        <f t="shared" si="14"/>
        <v>13.485555555555557</v>
      </c>
      <c r="F13" s="31">
        <f t="shared" si="4"/>
        <v>0</v>
      </c>
      <c r="G13" s="63">
        <v>0.75</v>
      </c>
      <c r="H13" s="31">
        <f t="shared" si="5"/>
        <v>2.9629629629629628</v>
      </c>
      <c r="I13" s="8">
        <f t="shared" si="6"/>
        <v>1.4814814814814814</v>
      </c>
      <c r="J13" s="9">
        <f t="shared" si="7"/>
        <v>74.179259259259268</v>
      </c>
      <c r="K13" s="10">
        <f t="shared" si="8"/>
        <v>2.1194074074074076</v>
      </c>
      <c r="L13" s="11">
        <f t="shared" si="9"/>
        <v>1000000</v>
      </c>
      <c r="M13" s="10">
        <f>$J13/(M$4-2)</f>
        <v>3.7089629629629632</v>
      </c>
      <c r="N13" s="11">
        <f t="shared" si="10"/>
        <v>1000000</v>
      </c>
      <c r="O13" s="10">
        <f t="shared" si="11"/>
        <v>8.242139917695475</v>
      </c>
      <c r="P13" s="11">
        <f t="shared" si="12"/>
        <v>1000000</v>
      </c>
      <c r="R13" s="1"/>
      <c r="T13" s="2"/>
    </row>
    <row r="14" spans="1:20" ht="15.75" thickBot="1" x14ac:dyDescent="0.3">
      <c r="A14" s="55">
        <v>96</v>
      </c>
      <c r="B14" s="35">
        <f t="shared" si="0"/>
        <v>343</v>
      </c>
      <c r="C14" s="37">
        <f t="shared" si="1"/>
        <v>20.198888888888888</v>
      </c>
      <c r="D14" s="36">
        <f t="shared" si="2"/>
        <v>229</v>
      </c>
      <c r="E14" s="37">
        <f t="shared" si="14"/>
        <v>13.485555555555557</v>
      </c>
      <c r="F14" s="37">
        <f t="shared" si="4"/>
        <v>0</v>
      </c>
      <c r="G14" s="64">
        <v>0.95</v>
      </c>
      <c r="H14" s="37">
        <f t="shared" si="5"/>
        <v>4.166666666666667</v>
      </c>
      <c r="I14" s="38">
        <f t="shared" si="6"/>
        <v>2.0833333333333335</v>
      </c>
      <c r="J14" s="39">
        <f t="shared" si="7"/>
        <v>39.623976608187135</v>
      </c>
      <c r="K14" s="40">
        <f t="shared" si="8"/>
        <v>1.1321136173767752</v>
      </c>
      <c r="L14" s="11">
        <f t="shared" si="9"/>
        <v>1000000</v>
      </c>
      <c r="M14" s="40">
        <f t="shared" si="13"/>
        <v>1.9811988304093568</v>
      </c>
      <c r="N14" s="41">
        <f t="shared" si="10"/>
        <v>1000000</v>
      </c>
      <c r="O14" s="40">
        <f t="shared" si="11"/>
        <v>4.4026640675763486</v>
      </c>
      <c r="P14" s="41">
        <f t="shared" si="12"/>
        <v>1000000</v>
      </c>
      <c r="R14" s="1"/>
      <c r="T14" s="2"/>
    </row>
    <row r="15" spans="1:20" x14ac:dyDescent="0.25">
      <c r="A15" s="12" t="s">
        <v>77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2" t="s">
        <v>78</v>
      </c>
      <c r="S15" s="42"/>
    </row>
    <row r="16" spans="1:20" x14ac:dyDescent="0.25">
      <c r="A16" s="12" t="s">
        <v>55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3" t="s">
        <v>79</v>
      </c>
    </row>
    <row r="17" spans="1:16" ht="15.75" thickBo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.75" thickBot="1" x14ac:dyDescent="0.3">
      <c r="A18" s="4" t="s">
        <v>40</v>
      </c>
      <c r="B18" s="4"/>
      <c r="C18" s="56">
        <v>200</v>
      </c>
      <c r="D18" s="4" t="s">
        <v>52</v>
      </c>
      <c r="E18" s="24"/>
      <c r="F18" s="24"/>
      <c r="G18" s="24"/>
      <c r="H18" s="24"/>
      <c r="I18" s="4"/>
      <c r="J18" s="4"/>
      <c r="K18" s="4"/>
      <c r="L18" s="4"/>
      <c r="M18" s="4"/>
      <c r="N18" s="4"/>
      <c r="O18" s="4"/>
      <c r="P18" s="4"/>
    </row>
    <row r="19" spans="1:16" ht="15.75" thickBot="1" x14ac:dyDescent="0.3">
      <c r="A19" s="4" t="s">
        <v>59</v>
      </c>
      <c r="B19" s="4"/>
      <c r="C19" s="57">
        <v>0</v>
      </c>
      <c r="D19" s="4" t="s">
        <v>64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 thickBot="1" x14ac:dyDescent="0.3">
      <c r="A20" s="4" t="s">
        <v>62</v>
      </c>
      <c r="B20" s="4"/>
      <c r="C20" s="1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.75" thickBot="1" x14ac:dyDescent="0.3">
      <c r="A21" s="4" t="s">
        <v>2</v>
      </c>
      <c r="B21" s="4"/>
      <c r="C21" s="58">
        <v>2</v>
      </c>
      <c r="D21" s="4" t="s">
        <v>8</v>
      </c>
      <c r="E21" s="25"/>
      <c r="F21" s="25"/>
      <c r="G21" s="25"/>
      <c r="H21" s="25"/>
      <c r="I21" s="4"/>
      <c r="J21" s="4"/>
      <c r="K21" s="4"/>
      <c r="L21" s="4"/>
      <c r="M21" s="4"/>
      <c r="N21" s="4"/>
      <c r="O21" s="4"/>
      <c r="P21" s="4"/>
    </row>
    <row r="22" spans="1:16" ht="15.75" thickBot="1" x14ac:dyDescent="0.3">
      <c r="A22" s="4"/>
      <c r="B22" s="4"/>
      <c r="C22" s="1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thickBot="1" x14ac:dyDescent="0.3">
      <c r="A23" s="4" t="s">
        <v>6</v>
      </c>
      <c r="B23" s="4"/>
      <c r="C23" s="59">
        <v>0</v>
      </c>
      <c r="D23" s="4" t="s">
        <v>65</v>
      </c>
      <c r="E23" s="26"/>
      <c r="F23" s="26"/>
      <c r="G23" s="26"/>
      <c r="H23" s="26"/>
      <c r="I23" s="4"/>
      <c r="J23" s="4"/>
      <c r="K23" s="4"/>
      <c r="L23" s="4"/>
      <c r="M23" s="4"/>
      <c r="N23" s="4"/>
      <c r="O23" s="4"/>
      <c r="P23" s="4"/>
    </row>
    <row r="24" spans="1:16" ht="15.75" thickBot="1" x14ac:dyDescent="0.3">
      <c r="A24" s="4" t="s">
        <v>7</v>
      </c>
      <c r="B24" s="4"/>
      <c r="C24" s="59">
        <v>0</v>
      </c>
      <c r="D24" s="4" t="s">
        <v>66</v>
      </c>
      <c r="E24" s="26"/>
      <c r="F24" s="26"/>
      <c r="G24" s="26"/>
      <c r="H24" s="26"/>
      <c r="I24" s="4"/>
      <c r="J24" s="4"/>
      <c r="K24" s="4"/>
      <c r="L24" s="4"/>
      <c r="M24" s="4"/>
      <c r="N24" s="4"/>
      <c r="O24" s="4"/>
      <c r="P24" s="4"/>
    </row>
    <row r="25" spans="1:16" ht="15.75" thickBot="1" x14ac:dyDescent="0.3">
      <c r="A25" s="4"/>
      <c r="B25" s="4"/>
      <c r="C25" s="1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thickBot="1" x14ac:dyDescent="0.3">
      <c r="A26" s="4" t="s">
        <v>74</v>
      </c>
      <c r="B26" s="4"/>
      <c r="C26" s="60">
        <v>0</v>
      </c>
      <c r="D26" s="4" t="s">
        <v>49</v>
      </c>
      <c r="E26" s="27"/>
      <c r="F26" s="27"/>
      <c r="G26" s="27"/>
      <c r="H26" s="27"/>
      <c r="I26" s="4"/>
      <c r="J26" s="4"/>
      <c r="K26" s="4"/>
      <c r="L26" s="4"/>
      <c r="M26" s="4"/>
      <c r="N26" s="4"/>
      <c r="O26" s="4"/>
      <c r="P26" s="4"/>
    </row>
    <row r="27" spans="1:16" ht="15.75" thickBot="1" x14ac:dyDescent="0.3">
      <c r="A27" s="4" t="s">
        <v>27</v>
      </c>
      <c r="B27" s="4"/>
      <c r="C27" s="61">
        <v>1.4999999999999999E-2</v>
      </c>
      <c r="D27" s="4" t="s">
        <v>53</v>
      </c>
      <c r="E27" s="28"/>
      <c r="F27" s="28"/>
      <c r="G27" s="28"/>
      <c r="H27" s="28"/>
      <c r="I27" s="4"/>
      <c r="J27" s="4"/>
      <c r="K27" s="4"/>
      <c r="L27" s="4"/>
      <c r="M27" s="4"/>
      <c r="N27" s="4"/>
      <c r="O27" s="4"/>
      <c r="P27" s="4"/>
    </row>
    <row r="28" spans="1:16" ht="15.75" thickBot="1" x14ac:dyDescent="0.3">
      <c r="A28" s="4"/>
      <c r="B28" s="4"/>
      <c r="C28" s="62"/>
      <c r="D28" s="4"/>
      <c r="E28" s="28"/>
      <c r="F28" s="28"/>
      <c r="G28" s="28"/>
      <c r="H28" s="28"/>
      <c r="I28" s="4"/>
      <c r="J28" s="4"/>
      <c r="K28" s="4"/>
      <c r="L28" s="4"/>
      <c r="M28" s="4"/>
      <c r="N28" s="4"/>
      <c r="O28" s="4"/>
      <c r="P28" s="4"/>
    </row>
    <row r="29" spans="1:16" ht="15.75" thickBot="1" x14ac:dyDescent="0.3">
      <c r="A29" s="4" t="s">
        <v>72</v>
      </c>
      <c r="B29" s="4"/>
      <c r="C29" s="55">
        <v>0</v>
      </c>
      <c r="D29" s="54" t="s">
        <v>73</v>
      </c>
      <c r="E29" s="28"/>
      <c r="F29" s="28"/>
      <c r="G29" s="28"/>
      <c r="H29" s="28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12" t="s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12" t="s">
        <v>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8.75" thickBot="1" x14ac:dyDescent="0.4">
      <c r="A34" s="4" t="s">
        <v>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thickBot="1" x14ac:dyDescent="0.3">
      <c r="A35" s="4" t="s">
        <v>10</v>
      </c>
      <c r="B35" s="13" t="s">
        <v>11</v>
      </c>
      <c r="C35" s="4"/>
      <c r="D35" s="4"/>
      <c r="E35" s="65">
        <f>2.27</f>
        <v>2.27</v>
      </c>
      <c r="F35" s="4" t="s">
        <v>5</v>
      </c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thickBot="1" x14ac:dyDescent="0.3">
      <c r="A36" s="4" t="s">
        <v>12</v>
      </c>
      <c r="B36" s="4" t="s">
        <v>13</v>
      </c>
      <c r="C36" s="4"/>
      <c r="D36" s="4"/>
      <c r="E36" s="65">
        <v>1.292</v>
      </c>
      <c r="F36" s="4" t="s">
        <v>75</v>
      </c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 customHeight="1" thickBot="1" x14ac:dyDescent="0.3">
      <c r="A37" s="4" t="s">
        <v>14</v>
      </c>
      <c r="B37" s="4" t="s">
        <v>15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8.75" thickBot="1" x14ac:dyDescent="0.4">
      <c r="A38" s="4" t="s">
        <v>16</v>
      </c>
      <c r="B38" s="4" t="s">
        <v>17</v>
      </c>
      <c r="C38" s="4"/>
      <c r="D38" s="4"/>
      <c r="E38" s="65">
        <f>0.329</f>
        <v>0.32900000000000001</v>
      </c>
      <c r="F38" s="4" t="s">
        <v>47</v>
      </c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7.25" x14ac:dyDescent="0.25">
      <c r="A39" s="4" t="s">
        <v>18</v>
      </c>
      <c r="B39" s="4"/>
      <c r="C39" s="4" t="s">
        <v>19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12" t="s">
        <v>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.75" customHeight="1" x14ac:dyDescent="0.35">
      <c r="A42" s="4" t="s">
        <v>20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4.25" customHeight="1" x14ac:dyDescent="0.25">
      <c r="A43" s="4" t="s">
        <v>21</v>
      </c>
      <c r="B43" s="4" t="s">
        <v>48</v>
      </c>
      <c r="C43" s="4"/>
      <c r="D43" s="4"/>
      <c r="E43" s="15">
        <f>1555+C26</f>
        <v>1555</v>
      </c>
      <c r="F43" s="4" t="s">
        <v>63</v>
      </c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6.5" customHeight="1" x14ac:dyDescent="0.25">
      <c r="A44" s="4" t="s">
        <v>23</v>
      </c>
      <c r="B44" s="4"/>
      <c r="C44" s="4"/>
      <c r="D44" s="4"/>
      <c r="E44" s="4">
        <v>9.81</v>
      </c>
      <c r="F44" s="4" t="s">
        <v>24</v>
      </c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 customHeight="1" x14ac:dyDescent="0.35">
      <c r="A45" s="4" t="s">
        <v>25</v>
      </c>
      <c r="B45" s="4" t="s">
        <v>26</v>
      </c>
      <c r="C45" s="4"/>
      <c r="D45" s="4"/>
      <c r="E45" s="32">
        <f>C27</f>
        <v>1.4999999999999999E-2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12" t="s">
        <v>29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8" thickBot="1" x14ac:dyDescent="0.3">
      <c r="A48" s="4" t="s">
        <v>30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thickBot="1" x14ac:dyDescent="0.3">
      <c r="A49" s="4" t="s">
        <v>50</v>
      </c>
      <c r="B49" s="4"/>
      <c r="C49" s="4"/>
      <c r="D49" s="4"/>
      <c r="E49" s="66">
        <v>0.06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12" t="s">
        <v>31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12" t="s">
        <v>32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12" t="s">
        <v>33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8" x14ac:dyDescent="0.35">
      <c r="A55" s="4" t="s">
        <v>34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4" t="s">
        <v>21</v>
      </c>
      <c r="B56" s="4" t="s">
        <v>22</v>
      </c>
      <c r="C56" s="4"/>
      <c r="D56" s="4"/>
      <c r="E56" s="15">
        <f>1555+C26</f>
        <v>1555</v>
      </c>
      <c r="F56" s="4" t="s">
        <v>63</v>
      </c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7.25" x14ac:dyDescent="0.25">
      <c r="A57" s="4" t="s">
        <v>23</v>
      </c>
      <c r="B57" s="4"/>
      <c r="C57" s="4"/>
      <c r="D57" s="4"/>
      <c r="E57" s="4">
        <v>9.81</v>
      </c>
      <c r="F57" s="4" t="s">
        <v>24</v>
      </c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8" x14ac:dyDescent="0.35">
      <c r="A58" s="4" t="s">
        <v>35</v>
      </c>
      <c r="B58" s="4" t="s">
        <v>36</v>
      </c>
      <c r="C58" s="4"/>
      <c r="D58" s="4"/>
      <c r="E58" s="33">
        <f>C23</f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x14ac:dyDescent="0.25">
      <c r="A59" s="4" t="s">
        <v>37</v>
      </c>
      <c r="B59" s="4" t="s">
        <v>38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9.75" customHeight="1" x14ac:dyDescent="0.25">
      <c r="A60" s="15"/>
      <c r="B60" s="4"/>
      <c r="C60" s="16"/>
      <c r="D60" s="16"/>
      <c r="E60" s="4"/>
      <c r="F60" s="16"/>
      <c r="G60" s="16"/>
      <c r="H60" s="16"/>
      <c r="I60" s="4"/>
      <c r="J60" s="17"/>
      <c r="K60" s="17"/>
      <c r="L60" s="4"/>
      <c r="M60" s="4"/>
      <c r="N60" s="18"/>
      <c r="O60" s="4"/>
      <c r="P60" s="4"/>
    </row>
    <row r="61" spans="1:16" x14ac:dyDescent="0.25">
      <c r="A61" s="12" t="s">
        <v>39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x14ac:dyDescent="0.25">
      <c r="A62" s="4" t="s">
        <v>51</v>
      </c>
      <c r="B62" s="4"/>
      <c r="C62" s="4"/>
      <c r="D62" s="4"/>
      <c r="E62" s="14">
        <v>0.8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8.25" customHeight="1" x14ac:dyDescent="0.25">
      <c r="A63" s="4"/>
      <c r="B63" s="4"/>
      <c r="C63" s="4"/>
      <c r="D63" s="4"/>
      <c r="E63" s="4"/>
      <c r="F63" s="4"/>
      <c r="G63" s="4"/>
      <c r="H63" s="4"/>
      <c r="I63" s="14"/>
      <c r="J63" s="4"/>
      <c r="K63" s="4"/>
      <c r="L63" s="4"/>
      <c r="M63" s="4"/>
      <c r="N63" s="4"/>
      <c r="O63" s="4"/>
      <c r="P63" s="4"/>
    </row>
    <row r="64" spans="1:16" x14ac:dyDescent="0.25">
      <c r="A64" s="12" t="s">
        <v>57</v>
      </c>
      <c r="B64" s="4"/>
      <c r="C64" s="4"/>
      <c r="D64" s="4"/>
      <c r="E64" s="4"/>
      <c r="F64" s="4"/>
      <c r="G64" s="4"/>
      <c r="H64" s="4"/>
      <c r="I64" s="14"/>
      <c r="J64" s="4"/>
      <c r="K64" s="4"/>
      <c r="L64" s="4"/>
      <c r="M64" s="4"/>
      <c r="N64" s="4"/>
      <c r="O64" s="4"/>
      <c r="P64" s="4"/>
    </row>
    <row r="65" spans="1:16" x14ac:dyDescent="0.25">
      <c r="A65" s="12" t="s">
        <v>56</v>
      </c>
      <c r="B65" s="4"/>
      <c r="C65" s="4"/>
      <c r="D65" s="4"/>
      <c r="E65" s="4"/>
      <c r="F65" s="4"/>
      <c r="G65" s="4"/>
      <c r="H65" s="4"/>
      <c r="I65" s="14"/>
      <c r="J65" s="4"/>
      <c r="K65" s="4"/>
      <c r="L65" s="4"/>
      <c r="M65" s="4"/>
      <c r="N65" s="4"/>
      <c r="O65" s="4"/>
      <c r="P65" s="4"/>
    </row>
    <row r="66" spans="1:16" ht="4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x14ac:dyDescent="0.25">
      <c r="A67" s="4" t="s">
        <v>42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4" t="s">
        <v>82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x14ac:dyDescent="0.25">
      <c r="A69" s="4" t="s">
        <v>45</v>
      </c>
      <c r="B69" s="4"/>
      <c r="C69" s="4"/>
      <c r="D69" s="4"/>
      <c r="E69" s="4"/>
      <c r="F69" s="4"/>
      <c r="G69" s="4"/>
      <c r="H69" s="4"/>
      <c r="I69" s="19" t="s">
        <v>43</v>
      </c>
      <c r="J69" s="4"/>
      <c r="K69" s="4"/>
      <c r="L69" s="4"/>
      <c r="M69" s="4"/>
      <c r="N69" s="4"/>
      <c r="O69" s="4"/>
      <c r="P69" s="4"/>
    </row>
    <row r="70" spans="1:16" x14ac:dyDescent="0.25">
      <c r="A70" s="4" t="s">
        <v>46</v>
      </c>
      <c r="B70" s="4"/>
      <c r="C70" s="4"/>
      <c r="D70" s="4"/>
      <c r="E70" s="4"/>
      <c r="F70" s="4"/>
      <c r="G70" s="4"/>
      <c r="H70" s="4"/>
      <c r="I70" s="4" t="s">
        <v>44</v>
      </c>
      <c r="J70" s="4"/>
      <c r="K70" s="4"/>
      <c r="L70" s="4"/>
      <c r="M70" s="4"/>
      <c r="N70" s="4"/>
      <c r="O70" s="4"/>
      <c r="P70" s="4"/>
    </row>
  </sheetData>
  <sheetProtection selectLockedCells="1"/>
  <protectedRanges>
    <protectedRange sqref="A5:A14" name="Geschwindigkeit"/>
    <protectedRange sqref="E26:H29 C26:C29" name="Zuladung Rollwider"/>
    <protectedRange sqref="C23:C24 E23:H24" name="Steigung Gefälle"/>
    <protectedRange sqref="C21 E21:H21" name="Grundverbrauch"/>
    <protectedRange sqref="C18:C19 E18:H19 D19" name="Fahrstrecke"/>
  </protectedRanges>
  <conditionalFormatting sqref="J5:J14">
    <cfRule type="cellIs" dxfId="15" priority="7" operator="greaterThan">
      <formula>31</formula>
    </cfRule>
  </conditionalFormatting>
  <conditionalFormatting sqref="J5:J14">
    <cfRule type="cellIs" dxfId="14" priority="8" operator="greaterThan">
      <formula>41</formula>
    </cfRule>
  </conditionalFormatting>
  <conditionalFormatting sqref="L5:L14">
    <cfRule type="top10" dxfId="13" priority="5" bottom="1" rank="1"/>
    <cfRule type="top10" dxfId="12" priority="6" bottom="1" rank="3"/>
  </conditionalFormatting>
  <conditionalFormatting sqref="N5:N14">
    <cfRule type="top10" dxfId="11" priority="3" bottom="1" rank="1"/>
    <cfRule type="top10" dxfId="10" priority="4" bottom="1" rank="3"/>
  </conditionalFormatting>
  <conditionalFormatting sqref="P5:P14">
    <cfRule type="top10" dxfId="9" priority="1" bottom="1" rank="1"/>
    <cfRule type="top10" dxfId="8" priority="2" bottom="1" rank="3"/>
  </conditionalFormatting>
  <hyperlinks>
    <hyperlink ref="I69" r:id="rId1"/>
  </hyperlinks>
  <pageMargins left="0.19685039370078741" right="0.19685039370078741" top="0.78740157480314965" bottom="0.39370078740157483" header="0.31496062992125984" footer="0.31496062992125984"/>
  <pageSetup paperSize="9" scale="91" orientation="landscape" r:id="rId2"/>
  <rowBreaks count="1" manualBreakCount="1">
    <brk id="31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tabSelected="1" workbookViewId="0">
      <selection activeCell="R9" sqref="R9"/>
    </sheetView>
  </sheetViews>
  <sheetFormatPr baseColWidth="10" defaultRowHeight="15" x14ac:dyDescent="0.25"/>
  <cols>
    <col min="1" max="1" width="15.85546875" customWidth="1"/>
    <col min="2" max="2" width="10.7109375" customWidth="1"/>
    <col min="3" max="3" width="11.28515625" customWidth="1"/>
    <col min="4" max="6" width="11" customWidth="1"/>
    <col min="7" max="7" width="7.140625" customWidth="1"/>
    <col min="8" max="8" width="10.42578125" customWidth="1"/>
    <col min="9" max="9" width="8.7109375" customWidth="1"/>
    <col min="10" max="10" width="11" customWidth="1"/>
    <col min="11" max="11" width="8.7109375" customWidth="1"/>
    <col min="12" max="12" width="10.7109375" customWidth="1"/>
    <col min="13" max="13" width="8.7109375" customWidth="1"/>
    <col min="14" max="14" width="10.7109375" customWidth="1"/>
    <col min="15" max="15" width="8.7109375" customWidth="1"/>
    <col min="16" max="16" width="10.7109375" customWidth="1"/>
  </cols>
  <sheetData>
    <row r="1" spans="1:20" ht="30.75" customHeight="1" x14ac:dyDescent="0.35">
      <c r="A1" s="3" t="s">
        <v>81</v>
      </c>
      <c r="B1" s="4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0" x14ac:dyDescent="0.25">
      <c r="A2" s="46" t="s">
        <v>54</v>
      </c>
      <c r="B2" s="47"/>
      <c r="C2" s="47"/>
      <c r="D2" s="47"/>
      <c r="E2" s="47"/>
      <c r="F2" s="47"/>
      <c r="G2" s="47"/>
      <c r="H2" s="47"/>
      <c r="I2" s="48" t="s">
        <v>41</v>
      </c>
      <c r="J2" s="49" t="s">
        <v>0</v>
      </c>
      <c r="K2" s="44" t="s">
        <v>71</v>
      </c>
      <c r="L2" s="50" t="s">
        <v>1</v>
      </c>
      <c r="M2" s="44" t="s">
        <v>71</v>
      </c>
      <c r="N2" s="50" t="s">
        <v>1</v>
      </c>
      <c r="O2" s="44" t="s">
        <v>71</v>
      </c>
      <c r="P2" s="50" t="s">
        <v>1</v>
      </c>
      <c r="R2" s="1"/>
      <c r="T2" s="2"/>
    </row>
    <row r="3" spans="1:20" ht="10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2"/>
      <c r="K3" s="45" t="s">
        <v>70</v>
      </c>
      <c r="L3" s="53"/>
      <c r="M3" s="45" t="s">
        <v>70</v>
      </c>
      <c r="N3" s="53"/>
      <c r="O3" s="45" t="s">
        <v>70</v>
      </c>
      <c r="P3" s="53"/>
      <c r="R3" s="1"/>
      <c r="T3" s="2"/>
    </row>
    <row r="4" spans="1:20" ht="60" x14ac:dyDescent="0.25">
      <c r="A4" s="4"/>
      <c r="B4" s="6" t="s">
        <v>58</v>
      </c>
      <c r="C4" s="6" t="s">
        <v>68</v>
      </c>
      <c r="D4" s="6" t="s">
        <v>69</v>
      </c>
      <c r="E4" s="6" t="s">
        <v>60</v>
      </c>
      <c r="F4" s="30" t="s">
        <v>61</v>
      </c>
      <c r="G4" s="30" t="s">
        <v>76</v>
      </c>
      <c r="H4" s="6" t="s">
        <v>67</v>
      </c>
      <c r="I4" s="4"/>
      <c r="J4" s="5"/>
      <c r="K4" s="20">
        <v>43</v>
      </c>
      <c r="L4" s="21">
        <f>K4</f>
        <v>43</v>
      </c>
      <c r="M4" s="20">
        <v>22</v>
      </c>
      <c r="N4" s="21">
        <f>M4</f>
        <v>22</v>
      </c>
      <c r="O4" s="20">
        <v>11</v>
      </c>
      <c r="P4" s="21">
        <f>O4</f>
        <v>11</v>
      </c>
      <c r="R4" s="1"/>
      <c r="T4" s="2"/>
    </row>
    <row r="5" spans="1:20" x14ac:dyDescent="0.25">
      <c r="A5" s="29">
        <v>50</v>
      </c>
      <c r="B5" s="7">
        <f>ROUND(0.5*E$35*E$36*(A5+C$29)^2*E$38/10000*10^10/(12.96*10^6),0)</f>
        <v>87</v>
      </c>
      <c r="C5" s="31">
        <f>B5/100*10^7/3600/1000*(1+E$49)/100*C$18</f>
        <v>4.93</v>
      </c>
      <c r="D5" s="7">
        <f>ROUND((E$43)*E$44*C$27,0)</f>
        <v>137</v>
      </c>
      <c r="E5" s="31">
        <f>D5/100*10^7/3600/1000*(1+E$49)/100*C$18</f>
        <v>7.7633333333333345</v>
      </c>
      <c r="F5" s="31">
        <f>+(E$56)*E$57*C$23/3600000*(1+E$49)-(E$56)*E$57*C$24/3600000*E$62*(1+E$49)</f>
        <v>0</v>
      </c>
      <c r="G5" s="63">
        <v>0.92</v>
      </c>
      <c r="H5" s="31">
        <f>$C$21*I5</f>
        <v>0.8</v>
      </c>
      <c r="I5" s="8">
        <f>C$18/A5+C$19</f>
        <v>4</v>
      </c>
      <c r="J5" s="9">
        <f>(C5+E5+F5)/G5+H5</f>
        <v>14.597101449275364</v>
      </c>
      <c r="K5" s="10">
        <f>$J5/(K$4-8)</f>
        <v>0.41706004140786757</v>
      </c>
      <c r="L5" s="11">
        <f t="shared" ref="L5:L9" si="0">IF(J5&gt;33,1000000,$I5+K5)</f>
        <v>4.4170600414078676</v>
      </c>
      <c r="M5" s="10">
        <f>$J5/(M$4-2)</f>
        <v>0.72985507246376824</v>
      </c>
      <c r="N5" s="11">
        <f>IF(J5&gt;33,1000000,$I5+M5)</f>
        <v>4.729855072463768</v>
      </c>
      <c r="O5" s="10">
        <f>$J5/(O$4-2)</f>
        <v>1.6219001610305961</v>
      </c>
      <c r="P5" s="11">
        <f>IF(J5&gt;33,1000000,$I5+O5)</f>
        <v>5.6219001610305961</v>
      </c>
      <c r="R5" s="1"/>
      <c r="T5" s="2"/>
    </row>
    <row r="6" spans="1:20" x14ac:dyDescent="0.25">
      <c r="A6" s="29">
        <v>60</v>
      </c>
      <c r="B6" s="7">
        <f t="shared" ref="B6:B14" si="1">ROUND(0.5*E$35*E$36*(A6+C$29)^2*E$38/10000*10^10/(12.96*10^6),0)</f>
        <v>125</v>
      </c>
      <c r="C6" s="31">
        <f t="shared" ref="C6:C14" si="2">B6/100*10^7/3600/1000*(1+E$49)/100*C$18</f>
        <v>7.0833333333333348</v>
      </c>
      <c r="D6" s="7">
        <f t="shared" ref="D6:D14" si="3">ROUND((E$43)*E$44*C$27,0)</f>
        <v>137</v>
      </c>
      <c r="E6" s="31">
        <f t="shared" ref="E6:E9" si="4">D6/100*10^7/3600/1000*(1+E$49)/100*C$18</f>
        <v>7.7633333333333345</v>
      </c>
      <c r="F6" s="31">
        <f t="shared" ref="F6:F14" si="5">+(E$56)*E$57*C$23/3600000*(1+E$49)-(E$56)*E$57*C$24/3600000*E$62*(1+E$49)</f>
        <v>0</v>
      </c>
      <c r="G6" s="63">
        <v>0.94499999999999995</v>
      </c>
      <c r="H6" s="31">
        <f t="shared" ref="H6:H14" si="6">$C$21*I6</f>
        <v>0.66666666666666674</v>
      </c>
      <c r="I6" s="8">
        <f t="shared" ref="I6:I14" si="7">C$18/A6+C$19</f>
        <v>3.3333333333333335</v>
      </c>
      <c r="J6" s="9">
        <f t="shared" ref="J6:J14" si="8">(C6+E6+F6)/G6+H6</f>
        <v>16.377425044091716</v>
      </c>
      <c r="K6" s="10">
        <f>$J6/(K$4-8)</f>
        <v>0.46792642983119187</v>
      </c>
      <c r="L6" s="11">
        <f t="shared" si="0"/>
        <v>3.8012597631645253</v>
      </c>
      <c r="M6" s="10">
        <f>$J6/(M$4-2)</f>
        <v>0.81887125220458579</v>
      </c>
      <c r="N6" s="11">
        <f t="shared" ref="N6:N14" si="9">IF(J6&gt;33,1000000,$I6+M6)</f>
        <v>4.1522045855379197</v>
      </c>
      <c r="O6" s="10">
        <f t="shared" ref="O6:O14" si="10">$J6/(O$4-2)</f>
        <v>1.8197138937879684</v>
      </c>
      <c r="P6" s="11">
        <f t="shared" ref="P6:P14" si="11">IF(J6&gt;33,1000000,$I6+O6)</f>
        <v>5.1530472271213021</v>
      </c>
      <c r="R6" s="1"/>
      <c r="T6" s="2"/>
    </row>
    <row r="7" spans="1:20" x14ac:dyDescent="0.25">
      <c r="A7" s="29">
        <v>70</v>
      </c>
      <c r="B7" s="7">
        <f t="shared" si="1"/>
        <v>170</v>
      </c>
      <c r="C7" s="31">
        <f t="shared" si="2"/>
        <v>9.6333333333333329</v>
      </c>
      <c r="D7" s="7">
        <f t="shared" si="3"/>
        <v>137</v>
      </c>
      <c r="E7" s="31">
        <f t="shared" si="4"/>
        <v>7.7633333333333345</v>
      </c>
      <c r="F7" s="31">
        <f t="shared" si="5"/>
        <v>0</v>
      </c>
      <c r="G7" s="63">
        <v>0.97</v>
      </c>
      <c r="H7" s="31">
        <f t="shared" si="6"/>
        <v>0.57142857142857151</v>
      </c>
      <c r="I7" s="8">
        <f t="shared" si="7"/>
        <v>2.8571428571428572</v>
      </c>
      <c r="J7" s="9">
        <f t="shared" si="8"/>
        <v>18.506136475208645</v>
      </c>
      <c r="K7" s="10">
        <f t="shared" ref="K7:K14" si="12">$J7/(K$4-8)</f>
        <v>0.52874675643453273</v>
      </c>
      <c r="L7" s="11">
        <f t="shared" si="0"/>
        <v>3.3858896135773899</v>
      </c>
      <c r="M7" s="10">
        <f>$J7/(M$4-2)</f>
        <v>0.92530682376043227</v>
      </c>
      <c r="N7" s="11">
        <f t="shared" si="9"/>
        <v>3.7824496809032895</v>
      </c>
      <c r="O7" s="10">
        <f t="shared" si="10"/>
        <v>2.0562373861342937</v>
      </c>
      <c r="P7" s="11">
        <f t="shared" si="11"/>
        <v>4.9133802432771514</v>
      </c>
      <c r="R7" s="1"/>
      <c r="T7" s="2"/>
    </row>
    <row r="8" spans="1:20" x14ac:dyDescent="0.25">
      <c r="A8" s="29">
        <v>80</v>
      </c>
      <c r="B8" s="7">
        <f t="shared" si="1"/>
        <v>222</v>
      </c>
      <c r="C8" s="31">
        <f t="shared" si="2"/>
        <v>12.580000000000002</v>
      </c>
      <c r="D8" s="7">
        <f t="shared" si="3"/>
        <v>137</v>
      </c>
      <c r="E8" s="31">
        <f t="shared" si="4"/>
        <v>7.7633333333333345</v>
      </c>
      <c r="F8" s="31">
        <f t="shared" si="5"/>
        <v>0</v>
      </c>
      <c r="G8" s="63">
        <v>0.97</v>
      </c>
      <c r="H8" s="31">
        <f t="shared" si="6"/>
        <v>0.5</v>
      </c>
      <c r="I8" s="8">
        <f t="shared" si="7"/>
        <v>2.5</v>
      </c>
      <c r="J8" s="9">
        <f t="shared" si="8"/>
        <v>21.472508591065296</v>
      </c>
      <c r="K8" s="10">
        <f t="shared" si="12"/>
        <v>0.6135002454590085</v>
      </c>
      <c r="L8" s="11">
        <f t="shared" si="0"/>
        <v>3.1135002454590084</v>
      </c>
      <c r="M8" s="10">
        <f>$J8/(M$4-2)</f>
        <v>1.0736254295532648</v>
      </c>
      <c r="N8" s="11">
        <f t="shared" si="9"/>
        <v>3.5736254295532648</v>
      </c>
      <c r="O8" s="10">
        <f t="shared" si="10"/>
        <v>2.3858342878961438</v>
      </c>
      <c r="P8" s="11">
        <f t="shared" si="11"/>
        <v>4.8858342878961434</v>
      </c>
      <c r="R8" s="1"/>
      <c r="T8" s="2"/>
    </row>
    <row r="9" spans="1:20" x14ac:dyDescent="0.25">
      <c r="A9" s="29">
        <v>90</v>
      </c>
      <c r="B9" s="7">
        <f t="shared" si="1"/>
        <v>281</v>
      </c>
      <c r="C9" s="31">
        <f t="shared" si="2"/>
        <v>15.923333333333334</v>
      </c>
      <c r="D9" s="7">
        <f t="shared" si="3"/>
        <v>137</v>
      </c>
      <c r="E9" s="31">
        <f t="shared" si="4"/>
        <v>7.7633333333333345</v>
      </c>
      <c r="F9" s="31">
        <f t="shared" si="5"/>
        <v>0</v>
      </c>
      <c r="G9" s="63">
        <v>0.97</v>
      </c>
      <c r="H9" s="31">
        <f t="shared" si="6"/>
        <v>0.44444444444444448</v>
      </c>
      <c r="I9" s="8">
        <f t="shared" si="7"/>
        <v>2.2222222222222223</v>
      </c>
      <c r="J9" s="9">
        <f t="shared" si="8"/>
        <v>24.86368843069874</v>
      </c>
      <c r="K9" s="10">
        <f t="shared" si="12"/>
        <v>0.71039109801996403</v>
      </c>
      <c r="L9" s="11">
        <f t="shared" si="0"/>
        <v>2.9326133202421865</v>
      </c>
      <c r="M9" s="10">
        <f t="shared" ref="M9:M14" si="13">$J9/(M$4-2)</f>
        <v>1.243184421534937</v>
      </c>
      <c r="N9" s="11">
        <f t="shared" si="9"/>
        <v>3.4654066437571593</v>
      </c>
      <c r="O9" s="10">
        <f t="shared" si="10"/>
        <v>2.7626320478554156</v>
      </c>
      <c r="P9" s="11">
        <f t="shared" si="11"/>
        <v>4.9848542700776379</v>
      </c>
      <c r="R9" s="1"/>
      <c r="T9" s="2"/>
    </row>
    <row r="10" spans="1:20" x14ac:dyDescent="0.25">
      <c r="A10" s="29">
        <v>100</v>
      </c>
      <c r="B10" s="7">
        <f t="shared" si="1"/>
        <v>347</v>
      </c>
      <c r="C10" s="31">
        <f>B10/100*10^7/3600/1000*(1+E$49)/100*C$18</f>
        <v>19.663333333333334</v>
      </c>
      <c r="D10" s="7">
        <f t="shared" si="3"/>
        <v>137</v>
      </c>
      <c r="E10" s="31">
        <f>D10/100*10^7/3600/1000*(1+E$49)/100*C$18</f>
        <v>7.7633333333333345</v>
      </c>
      <c r="F10" s="31">
        <f t="shared" si="5"/>
        <v>0</v>
      </c>
      <c r="G10" s="63">
        <v>0.9</v>
      </c>
      <c r="H10" s="31">
        <f t="shared" si="6"/>
        <v>0.4</v>
      </c>
      <c r="I10" s="8">
        <f t="shared" si="7"/>
        <v>2</v>
      </c>
      <c r="J10" s="9">
        <f t="shared" si="8"/>
        <v>30.874074074074073</v>
      </c>
      <c r="K10" s="10">
        <f t="shared" si="12"/>
        <v>0.88211640211640208</v>
      </c>
      <c r="L10" s="11">
        <f>IF(J10&gt;33,1000000,$I10+K10)</f>
        <v>2.8821164021164023</v>
      </c>
      <c r="M10" s="10">
        <f t="shared" si="13"/>
        <v>1.5437037037037036</v>
      </c>
      <c r="N10" s="11">
        <f t="shared" si="9"/>
        <v>3.5437037037037036</v>
      </c>
      <c r="O10" s="10">
        <f t="shared" si="10"/>
        <v>3.4304526748971194</v>
      </c>
      <c r="P10" s="11">
        <f t="shared" si="11"/>
        <v>5.4304526748971194</v>
      </c>
      <c r="R10" s="1"/>
      <c r="T10" s="2"/>
    </row>
    <row r="11" spans="1:20" x14ac:dyDescent="0.25">
      <c r="A11" s="29">
        <v>110</v>
      </c>
      <c r="B11" s="7">
        <f t="shared" si="1"/>
        <v>420</v>
      </c>
      <c r="C11" s="31">
        <f t="shared" si="2"/>
        <v>23.8</v>
      </c>
      <c r="D11" s="7">
        <f t="shared" si="3"/>
        <v>137</v>
      </c>
      <c r="E11" s="31">
        <f t="shared" ref="E11:E14" si="14">D11/100*10^7/3600/1000*(1+E$49)/100*C$18</f>
        <v>7.7633333333333345</v>
      </c>
      <c r="F11" s="31">
        <f t="shared" si="5"/>
        <v>0</v>
      </c>
      <c r="G11" s="63">
        <v>0.86</v>
      </c>
      <c r="H11" s="31">
        <f t="shared" si="6"/>
        <v>0.36363636363636365</v>
      </c>
      <c r="I11" s="8">
        <f t="shared" si="7"/>
        <v>1.8181818181818181</v>
      </c>
      <c r="J11" s="9">
        <f t="shared" si="8"/>
        <v>37.06518675123327</v>
      </c>
      <c r="K11" s="10">
        <f t="shared" si="12"/>
        <v>1.0590053357495219</v>
      </c>
      <c r="L11" s="11">
        <f t="shared" ref="L11:L14" si="15">IF(J11&gt;33,1000000,$I11+K11)</f>
        <v>1000000</v>
      </c>
      <c r="M11" s="10">
        <f t="shared" si="13"/>
        <v>1.8532593375616635</v>
      </c>
      <c r="N11" s="11">
        <f t="shared" si="9"/>
        <v>1000000</v>
      </c>
      <c r="O11" s="10">
        <f t="shared" si="10"/>
        <v>4.1183540834703631</v>
      </c>
      <c r="P11" s="11">
        <f t="shared" si="11"/>
        <v>1000000</v>
      </c>
      <c r="R11" s="1"/>
      <c r="T11" s="2"/>
    </row>
    <row r="12" spans="1:20" x14ac:dyDescent="0.25">
      <c r="A12" s="29">
        <v>120</v>
      </c>
      <c r="B12" s="7">
        <f t="shared" si="1"/>
        <v>500</v>
      </c>
      <c r="C12" s="31">
        <f t="shared" si="2"/>
        <v>28.333333333333339</v>
      </c>
      <c r="D12" s="7">
        <f t="shared" si="3"/>
        <v>137</v>
      </c>
      <c r="E12" s="31">
        <f t="shared" si="14"/>
        <v>7.7633333333333345</v>
      </c>
      <c r="F12" s="31">
        <f t="shared" si="5"/>
        <v>0</v>
      </c>
      <c r="G12" s="63">
        <v>0.82</v>
      </c>
      <c r="H12" s="31">
        <f t="shared" si="6"/>
        <v>0.33333333333333337</v>
      </c>
      <c r="I12" s="8">
        <f t="shared" si="7"/>
        <v>1.6666666666666667</v>
      </c>
      <c r="J12" s="9">
        <f t="shared" si="8"/>
        <v>44.353658536585378</v>
      </c>
      <c r="K12" s="10">
        <f t="shared" si="12"/>
        <v>1.2672473867595822</v>
      </c>
      <c r="L12" s="11">
        <f t="shared" si="15"/>
        <v>1000000</v>
      </c>
      <c r="M12" s="10">
        <f t="shared" si="13"/>
        <v>2.2176829268292688</v>
      </c>
      <c r="N12" s="11">
        <f t="shared" si="9"/>
        <v>1000000</v>
      </c>
      <c r="O12" s="10">
        <f t="shared" si="10"/>
        <v>4.9281842818428201</v>
      </c>
      <c r="P12" s="11">
        <f t="shared" si="11"/>
        <v>1000000</v>
      </c>
      <c r="R12" s="1"/>
      <c r="T12" s="2"/>
    </row>
    <row r="13" spans="1:20" ht="15.75" thickBot="1" x14ac:dyDescent="0.3">
      <c r="A13" s="34">
        <v>135</v>
      </c>
      <c r="B13" s="7">
        <f>ROUND(0.5*E$35*E$36*(A13+C$29)^2*E$38/10000*10^10/(12.96*10^6),0)</f>
        <v>632</v>
      </c>
      <c r="C13" s="31">
        <f t="shared" si="2"/>
        <v>35.813333333333333</v>
      </c>
      <c r="D13" s="7">
        <f t="shared" si="3"/>
        <v>137</v>
      </c>
      <c r="E13" s="31">
        <f t="shared" si="14"/>
        <v>7.7633333333333345</v>
      </c>
      <c r="F13" s="31">
        <f t="shared" si="5"/>
        <v>0</v>
      </c>
      <c r="G13" s="63">
        <v>0.75</v>
      </c>
      <c r="H13" s="31">
        <f t="shared" si="6"/>
        <v>0.29629629629629628</v>
      </c>
      <c r="I13" s="8">
        <f t="shared" si="7"/>
        <v>1.4814814814814814</v>
      </c>
      <c r="J13" s="9">
        <f t="shared" si="8"/>
        <v>58.398518518518522</v>
      </c>
      <c r="K13" s="10">
        <f t="shared" si="12"/>
        <v>1.6685291005291005</v>
      </c>
      <c r="L13" s="11">
        <f t="shared" si="15"/>
        <v>1000000</v>
      </c>
      <c r="M13" s="10">
        <f>$J13/(M$4-2)</f>
        <v>2.9199259259259263</v>
      </c>
      <c r="N13" s="11">
        <f t="shared" si="9"/>
        <v>1000000</v>
      </c>
      <c r="O13" s="10">
        <f t="shared" si="10"/>
        <v>6.4887242798353917</v>
      </c>
      <c r="P13" s="11">
        <f t="shared" si="11"/>
        <v>1000000</v>
      </c>
      <c r="R13" s="1"/>
      <c r="T13" s="2"/>
    </row>
    <row r="14" spans="1:20" ht="15.75" thickBot="1" x14ac:dyDescent="0.3">
      <c r="A14" s="55">
        <v>96</v>
      </c>
      <c r="B14" s="35">
        <f t="shared" si="1"/>
        <v>320</v>
      </c>
      <c r="C14" s="37">
        <f t="shared" si="2"/>
        <v>18.133333333333333</v>
      </c>
      <c r="D14" s="36">
        <f t="shared" si="3"/>
        <v>137</v>
      </c>
      <c r="E14" s="37">
        <f t="shared" si="14"/>
        <v>7.7633333333333345</v>
      </c>
      <c r="F14" s="37">
        <f t="shared" si="5"/>
        <v>0</v>
      </c>
      <c r="G14" s="64">
        <v>0.95</v>
      </c>
      <c r="H14" s="37">
        <f t="shared" si="6"/>
        <v>0.41666666666666674</v>
      </c>
      <c r="I14" s="38">
        <f t="shared" si="7"/>
        <v>2.0833333333333335</v>
      </c>
      <c r="J14" s="39">
        <f t="shared" si="8"/>
        <v>27.676315789473687</v>
      </c>
      <c r="K14" s="40">
        <f t="shared" si="12"/>
        <v>0.79075187969924821</v>
      </c>
      <c r="L14" s="11">
        <f t="shared" si="15"/>
        <v>2.8740852130325818</v>
      </c>
      <c r="M14" s="40">
        <f t="shared" si="13"/>
        <v>1.3838157894736844</v>
      </c>
      <c r="N14" s="41">
        <f t="shared" si="9"/>
        <v>3.4671491228070179</v>
      </c>
      <c r="O14" s="40">
        <f t="shared" si="10"/>
        <v>3.0751461988304096</v>
      </c>
      <c r="P14" s="41">
        <f t="shared" si="11"/>
        <v>5.1584795321637431</v>
      </c>
      <c r="R14" s="1"/>
      <c r="T14" s="2"/>
    </row>
    <row r="15" spans="1:20" x14ac:dyDescent="0.25">
      <c r="A15" s="12" t="s">
        <v>77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2" t="s">
        <v>78</v>
      </c>
      <c r="S15" s="42"/>
    </row>
    <row r="16" spans="1:20" x14ac:dyDescent="0.25">
      <c r="A16" s="12" t="s">
        <v>55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3" t="s">
        <v>79</v>
      </c>
    </row>
    <row r="17" spans="1:16" ht="15.75" thickBo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.75" thickBot="1" x14ac:dyDescent="0.3">
      <c r="A18" s="4" t="s">
        <v>40</v>
      </c>
      <c r="B18" s="4"/>
      <c r="C18" s="56">
        <v>200</v>
      </c>
      <c r="D18" s="4" t="s">
        <v>52</v>
      </c>
      <c r="E18" s="24"/>
      <c r="F18" s="24"/>
      <c r="G18" s="24"/>
      <c r="H18" s="24"/>
      <c r="I18" s="4"/>
      <c r="J18" s="4"/>
      <c r="K18" s="4"/>
      <c r="L18" s="4"/>
      <c r="M18" s="4"/>
      <c r="N18" s="4"/>
      <c r="O18" s="4"/>
      <c r="P18" s="4"/>
    </row>
    <row r="19" spans="1:16" ht="15.75" thickBot="1" x14ac:dyDescent="0.3">
      <c r="A19" s="4" t="s">
        <v>59</v>
      </c>
      <c r="B19" s="4"/>
      <c r="C19" s="57">
        <v>0</v>
      </c>
      <c r="D19" s="4" t="s">
        <v>64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 thickBot="1" x14ac:dyDescent="0.3">
      <c r="A20" s="4" t="s">
        <v>62</v>
      </c>
      <c r="B20" s="4"/>
      <c r="C20" s="1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.75" thickBot="1" x14ac:dyDescent="0.3">
      <c r="A21" s="4" t="s">
        <v>2</v>
      </c>
      <c r="B21" s="4"/>
      <c r="C21" s="58">
        <v>0.2</v>
      </c>
      <c r="D21" s="4" t="s">
        <v>8</v>
      </c>
      <c r="E21" s="25"/>
      <c r="F21" s="25"/>
      <c r="G21" s="25"/>
      <c r="H21" s="25"/>
      <c r="I21" s="4"/>
      <c r="J21" s="4"/>
      <c r="K21" s="4"/>
      <c r="L21" s="4"/>
      <c r="M21" s="4"/>
      <c r="N21" s="4"/>
      <c r="O21" s="4"/>
      <c r="P21" s="4"/>
    </row>
    <row r="22" spans="1:16" ht="15.75" thickBot="1" x14ac:dyDescent="0.3">
      <c r="A22" s="4"/>
      <c r="B22" s="4"/>
      <c r="C22" s="1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thickBot="1" x14ac:dyDescent="0.3">
      <c r="A23" s="4" t="s">
        <v>6</v>
      </c>
      <c r="B23" s="4"/>
      <c r="C23" s="59">
        <v>0</v>
      </c>
      <c r="D23" s="4" t="s">
        <v>65</v>
      </c>
      <c r="E23" s="26"/>
      <c r="F23" s="26"/>
      <c r="G23" s="26"/>
      <c r="H23" s="26"/>
      <c r="I23" s="4"/>
      <c r="J23" s="4"/>
      <c r="K23" s="4"/>
      <c r="L23" s="4"/>
      <c r="M23" s="4"/>
      <c r="N23" s="4"/>
      <c r="O23" s="4"/>
      <c r="P23" s="4"/>
    </row>
    <row r="24" spans="1:16" ht="15.75" thickBot="1" x14ac:dyDescent="0.3">
      <c r="A24" s="4" t="s">
        <v>7</v>
      </c>
      <c r="B24" s="4"/>
      <c r="C24" s="59">
        <v>0</v>
      </c>
      <c r="D24" s="4" t="s">
        <v>66</v>
      </c>
      <c r="E24" s="26"/>
      <c r="F24" s="26"/>
      <c r="G24" s="26"/>
      <c r="H24" s="26"/>
      <c r="I24" s="4"/>
      <c r="J24" s="4"/>
      <c r="K24" s="4"/>
      <c r="L24" s="4"/>
      <c r="M24" s="4"/>
      <c r="N24" s="4"/>
      <c r="O24" s="4"/>
      <c r="P24" s="4"/>
    </row>
    <row r="25" spans="1:16" ht="15.75" thickBot="1" x14ac:dyDescent="0.3">
      <c r="A25" s="4"/>
      <c r="B25" s="4"/>
      <c r="C25" s="1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thickBot="1" x14ac:dyDescent="0.3">
      <c r="A26" s="4" t="s">
        <v>74</v>
      </c>
      <c r="B26" s="4"/>
      <c r="C26" s="60">
        <v>0</v>
      </c>
      <c r="D26" s="4" t="s">
        <v>49</v>
      </c>
      <c r="E26" s="27"/>
      <c r="F26" s="27"/>
      <c r="G26" s="27"/>
      <c r="H26" s="27"/>
      <c r="I26" s="4"/>
      <c r="J26" s="4"/>
      <c r="K26" s="4"/>
      <c r="L26" s="4"/>
      <c r="M26" s="4"/>
      <c r="N26" s="4"/>
      <c r="O26" s="4"/>
      <c r="P26" s="4"/>
    </row>
    <row r="27" spans="1:16" ht="15.75" thickBot="1" x14ac:dyDescent="0.3">
      <c r="A27" s="4" t="s">
        <v>27</v>
      </c>
      <c r="B27" s="4"/>
      <c r="C27" s="61">
        <v>8.9999999999999993E-3</v>
      </c>
      <c r="D27" s="4" t="s">
        <v>53</v>
      </c>
      <c r="E27" s="28"/>
      <c r="F27" s="28"/>
      <c r="G27" s="28"/>
      <c r="H27" s="28"/>
      <c r="I27" s="4"/>
      <c r="J27" s="4"/>
      <c r="K27" s="4"/>
      <c r="L27" s="4"/>
      <c r="M27" s="4"/>
      <c r="N27" s="4"/>
      <c r="O27" s="4"/>
      <c r="P27" s="4"/>
    </row>
    <row r="28" spans="1:16" ht="15.75" thickBot="1" x14ac:dyDescent="0.3">
      <c r="A28" s="4"/>
      <c r="B28" s="4"/>
      <c r="C28" s="62"/>
      <c r="D28" s="4"/>
      <c r="E28" s="28"/>
      <c r="F28" s="28"/>
      <c r="G28" s="28"/>
      <c r="H28" s="28"/>
      <c r="I28" s="4"/>
      <c r="J28" s="4"/>
      <c r="K28" s="4"/>
      <c r="L28" s="4"/>
      <c r="M28" s="4"/>
      <c r="N28" s="4"/>
      <c r="O28" s="4"/>
      <c r="P28" s="4"/>
    </row>
    <row r="29" spans="1:16" ht="15.75" thickBot="1" x14ac:dyDescent="0.3">
      <c r="A29" s="4" t="s">
        <v>72</v>
      </c>
      <c r="B29" s="4"/>
      <c r="C29" s="55">
        <v>0</v>
      </c>
      <c r="D29" s="54" t="s">
        <v>73</v>
      </c>
      <c r="E29" s="28"/>
      <c r="F29" s="28"/>
      <c r="G29" s="28"/>
      <c r="H29" s="28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12" t="s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12" t="s">
        <v>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8.75" thickBot="1" x14ac:dyDescent="0.4">
      <c r="A34" s="4" t="s">
        <v>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thickBot="1" x14ac:dyDescent="0.3">
      <c r="A35" s="4" t="s">
        <v>10</v>
      </c>
      <c r="B35" s="13" t="s">
        <v>11</v>
      </c>
      <c r="C35" s="4"/>
      <c r="D35" s="4"/>
      <c r="E35" s="65">
        <f>2.27</f>
        <v>2.27</v>
      </c>
      <c r="F35" s="4" t="s">
        <v>5</v>
      </c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thickBot="1" x14ac:dyDescent="0.3">
      <c r="A36" s="4" t="s">
        <v>12</v>
      </c>
      <c r="B36" s="4" t="s">
        <v>13</v>
      </c>
      <c r="C36" s="4"/>
      <c r="D36" s="4"/>
      <c r="E36" s="65">
        <v>1.204</v>
      </c>
      <c r="F36" s="4" t="s">
        <v>75</v>
      </c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 customHeight="1" thickBot="1" x14ac:dyDescent="0.3">
      <c r="A37" s="4" t="s">
        <v>14</v>
      </c>
      <c r="B37" s="4" t="s">
        <v>15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8.75" thickBot="1" x14ac:dyDescent="0.4">
      <c r="A38" s="4" t="s">
        <v>16</v>
      </c>
      <c r="B38" s="4" t="s">
        <v>17</v>
      </c>
      <c r="C38" s="4"/>
      <c r="D38" s="4"/>
      <c r="E38" s="65">
        <f>0.329</f>
        <v>0.32900000000000001</v>
      </c>
      <c r="F38" s="4" t="s">
        <v>47</v>
      </c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7.25" x14ac:dyDescent="0.25">
      <c r="A39" s="4" t="s">
        <v>18</v>
      </c>
      <c r="B39" s="4"/>
      <c r="C39" s="4" t="s">
        <v>19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12" t="s">
        <v>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.75" customHeight="1" x14ac:dyDescent="0.35">
      <c r="A42" s="4" t="s">
        <v>20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4.25" customHeight="1" x14ac:dyDescent="0.25">
      <c r="A43" s="4" t="s">
        <v>21</v>
      </c>
      <c r="B43" s="4" t="s">
        <v>48</v>
      </c>
      <c r="C43" s="4"/>
      <c r="D43" s="4"/>
      <c r="E43" s="15">
        <f>1555+C26</f>
        <v>1555</v>
      </c>
      <c r="F43" s="4" t="s">
        <v>63</v>
      </c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6.5" customHeight="1" x14ac:dyDescent="0.25">
      <c r="A44" s="4" t="s">
        <v>23</v>
      </c>
      <c r="B44" s="4"/>
      <c r="C44" s="4"/>
      <c r="D44" s="4"/>
      <c r="E44" s="4">
        <v>9.81</v>
      </c>
      <c r="F44" s="4" t="s">
        <v>24</v>
      </c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 customHeight="1" x14ac:dyDescent="0.35">
      <c r="A45" s="4" t="s">
        <v>25</v>
      </c>
      <c r="B45" s="4" t="s">
        <v>26</v>
      </c>
      <c r="C45" s="4"/>
      <c r="D45" s="4"/>
      <c r="E45" s="32">
        <f>C27</f>
        <v>8.9999999999999993E-3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12" t="s">
        <v>29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8" thickBot="1" x14ac:dyDescent="0.3">
      <c r="A48" s="4" t="s">
        <v>30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thickBot="1" x14ac:dyDescent="0.3">
      <c r="A49" s="4" t="s">
        <v>50</v>
      </c>
      <c r="B49" s="4"/>
      <c r="C49" s="4"/>
      <c r="D49" s="4"/>
      <c r="E49" s="66">
        <v>0.02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12" t="s">
        <v>31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12" t="s">
        <v>32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12" t="s">
        <v>33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8" x14ac:dyDescent="0.35">
      <c r="A55" s="4" t="s">
        <v>34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4" t="s">
        <v>21</v>
      </c>
      <c r="B56" s="4" t="s">
        <v>22</v>
      </c>
      <c r="C56" s="4"/>
      <c r="D56" s="4"/>
      <c r="E56" s="15">
        <f>1555+C26</f>
        <v>1555</v>
      </c>
      <c r="F56" s="4" t="s">
        <v>63</v>
      </c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7.25" x14ac:dyDescent="0.25">
      <c r="A57" s="4" t="s">
        <v>23</v>
      </c>
      <c r="B57" s="4"/>
      <c r="C57" s="4"/>
      <c r="D57" s="4"/>
      <c r="E57" s="4">
        <v>9.81</v>
      </c>
      <c r="F57" s="4" t="s">
        <v>24</v>
      </c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8" x14ac:dyDescent="0.35">
      <c r="A58" s="4" t="s">
        <v>35</v>
      </c>
      <c r="B58" s="4" t="s">
        <v>36</v>
      </c>
      <c r="C58" s="4"/>
      <c r="D58" s="4"/>
      <c r="E58" s="33">
        <f>C23</f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x14ac:dyDescent="0.25">
      <c r="A59" s="4" t="s">
        <v>37</v>
      </c>
      <c r="B59" s="4" t="s">
        <v>38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9.75" customHeight="1" x14ac:dyDescent="0.25">
      <c r="A60" s="15"/>
      <c r="B60" s="4"/>
      <c r="C60" s="16"/>
      <c r="D60" s="16"/>
      <c r="E60" s="4"/>
      <c r="F60" s="16"/>
      <c r="G60" s="16"/>
      <c r="H60" s="16"/>
      <c r="I60" s="4"/>
      <c r="J60" s="17"/>
      <c r="K60" s="17"/>
      <c r="L60" s="4"/>
      <c r="M60" s="4"/>
      <c r="N60" s="18"/>
      <c r="O60" s="4"/>
      <c r="P60" s="4"/>
    </row>
    <row r="61" spans="1:16" x14ac:dyDescent="0.25">
      <c r="A61" s="12" t="s">
        <v>39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x14ac:dyDescent="0.25">
      <c r="A62" s="4" t="s">
        <v>51</v>
      </c>
      <c r="B62" s="4"/>
      <c r="C62" s="4"/>
      <c r="D62" s="4"/>
      <c r="E62" s="14">
        <v>0.8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8.25" customHeight="1" x14ac:dyDescent="0.25">
      <c r="A63" s="4"/>
      <c r="B63" s="4"/>
      <c r="C63" s="4"/>
      <c r="D63" s="4"/>
      <c r="E63" s="4"/>
      <c r="F63" s="4"/>
      <c r="G63" s="4"/>
      <c r="H63" s="4"/>
      <c r="I63" s="14"/>
      <c r="J63" s="4"/>
      <c r="K63" s="4"/>
      <c r="L63" s="4"/>
      <c r="M63" s="4"/>
      <c r="N63" s="4"/>
      <c r="O63" s="4"/>
      <c r="P63" s="4"/>
    </row>
    <row r="64" spans="1:16" x14ac:dyDescent="0.25">
      <c r="A64" s="12" t="s">
        <v>57</v>
      </c>
      <c r="B64" s="4"/>
      <c r="C64" s="4"/>
      <c r="D64" s="4"/>
      <c r="E64" s="4"/>
      <c r="F64" s="4"/>
      <c r="G64" s="4"/>
      <c r="H64" s="4"/>
      <c r="I64" s="14"/>
      <c r="J64" s="4"/>
      <c r="K64" s="4"/>
      <c r="L64" s="4"/>
      <c r="M64" s="4"/>
      <c r="N64" s="4"/>
      <c r="O64" s="4"/>
      <c r="P64" s="4"/>
    </row>
    <row r="65" spans="1:16" x14ac:dyDescent="0.25">
      <c r="A65" s="12" t="s">
        <v>56</v>
      </c>
      <c r="B65" s="4"/>
      <c r="C65" s="4"/>
      <c r="D65" s="4"/>
      <c r="E65" s="4"/>
      <c r="F65" s="4"/>
      <c r="G65" s="4"/>
      <c r="H65" s="4"/>
      <c r="I65" s="14"/>
      <c r="J65" s="4"/>
      <c r="K65" s="4"/>
      <c r="L65" s="4"/>
      <c r="M65" s="4"/>
      <c r="N65" s="4"/>
      <c r="O65" s="4"/>
      <c r="P65" s="4"/>
    </row>
    <row r="66" spans="1:16" ht="4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x14ac:dyDescent="0.25">
      <c r="A67" s="4" t="s">
        <v>42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4" t="s">
        <v>80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x14ac:dyDescent="0.25">
      <c r="A69" s="4" t="s">
        <v>45</v>
      </c>
      <c r="B69" s="4"/>
      <c r="C69" s="4"/>
      <c r="D69" s="4"/>
      <c r="E69" s="4"/>
      <c r="F69" s="4"/>
      <c r="G69" s="4"/>
      <c r="H69" s="4"/>
      <c r="I69" s="19" t="s">
        <v>43</v>
      </c>
      <c r="J69" s="4"/>
      <c r="K69" s="4"/>
      <c r="L69" s="4"/>
      <c r="M69" s="4"/>
      <c r="N69" s="4"/>
      <c r="O69" s="4"/>
      <c r="P69" s="4"/>
    </row>
    <row r="70" spans="1:16" x14ac:dyDescent="0.25">
      <c r="A70" s="4" t="s">
        <v>46</v>
      </c>
      <c r="B70" s="4"/>
      <c r="C70" s="4"/>
      <c r="D70" s="4"/>
      <c r="E70" s="4"/>
      <c r="F70" s="4"/>
      <c r="G70" s="4"/>
      <c r="H70" s="4"/>
      <c r="I70" s="4" t="s">
        <v>44</v>
      </c>
      <c r="J70" s="4"/>
      <c r="K70" s="4"/>
      <c r="L70" s="4"/>
      <c r="M70" s="4"/>
      <c r="N70" s="4"/>
      <c r="O70" s="4"/>
      <c r="P70" s="4"/>
    </row>
  </sheetData>
  <sheetProtection selectLockedCells="1"/>
  <protectedRanges>
    <protectedRange sqref="A5:A14" name="Geschwindigkeit"/>
    <protectedRange sqref="E26:H29 C26:C29" name="Zuladung Rollwider"/>
    <protectedRange sqref="C23:C24 E23:H24" name="Steigung Gefälle"/>
    <protectedRange sqref="C21 E21:H21" name="Grundverbrauch"/>
    <protectedRange sqref="C18:C19 E18:H19 D19" name="Fahrstrecke"/>
  </protectedRanges>
  <conditionalFormatting sqref="J5:J14">
    <cfRule type="cellIs" dxfId="7" priority="7" operator="greaterThan">
      <formula>31</formula>
    </cfRule>
  </conditionalFormatting>
  <conditionalFormatting sqref="J5:J14">
    <cfRule type="cellIs" dxfId="6" priority="8" operator="greaterThan">
      <formula>41</formula>
    </cfRule>
  </conditionalFormatting>
  <conditionalFormatting sqref="L5:L14">
    <cfRule type="top10" dxfId="5" priority="5" bottom="1" rank="1"/>
    <cfRule type="top10" dxfId="4" priority="6" bottom="1" rank="3"/>
  </conditionalFormatting>
  <conditionalFormatting sqref="N5:N14">
    <cfRule type="top10" dxfId="3" priority="3" bottom="1" rank="1"/>
    <cfRule type="top10" dxfId="2" priority="4" bottom="1" rank="3"/>
  </conditionalFormatting>
  <conditionalFormatting sqref="P5:P14">
    <cfRule type="top10" dxfId="1" priority="1" bottom="1" rank="1"/>
    <cfRule type="top10" dxfId="0" priority="2" bottom="1" rank="3"/>
  </conditionalFormatting>
  <hyperlinks>
    <hyperlink ref="I69" r:id="rId1"/>
  </hyperlinks>
  <pageMargins left="0.19685039370078741" right="0.19685039370078741" top="0.78740157480314965" bottom="0.39370078740157483" header="0.31496062992125984" footer="0.31496062992125984"/>
  <pageSetup paperSize="9" scale="91" orientation="landscape" r:id="rId2"/>
  <rowBreaks count="1" manualBreakCount="1">
    <brk id="31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Zoe Verbrauch Winter 0°</vt:lpstr>
      <vt:lpstr>Zoe Verbrauch Sommer 20°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B020</cp:lastModifiedBy>
  <cp:lastPrinted>2016-09-16T16:12:51Z</cp:lastPrinted>
  <dcterms:created xsi:type="dcterms:W3CDTF">2015-07-18T08:07:43Z</dcterms:created>
  <dcterms:modified xsi:type="dcterms:W3CDTF">2017-09-04T14:46:01Z</dcterms:modified>
</cp:coreProperties>
</file>